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D:\Workspace 2015-11-17\00 - FDE\PEC - Fans, Ducts AHUs Design Performance Cx\2018-11-07\Follow-up\"/>
    </mc:Choice>
  </mc:AlternateContent>
  <xr:revisionPtr revIDLastSave="0" documentId="8_{C76DF5E2-D823-4FAF-85ED-F5D8839A3575}" xr6:coauthVersionLast="38" xr6:coauthVersionMax="38" xr10:uidLastSave="{00000000-0000-0000-0000-000000000000}"/>
  <bookViews>
    <workbookView xWindow="0" yWindow="0" windowWidth="28800" windowHeight="11622" xr2:uid="{657E9ADA-DD47-4711-A905-ED59FF60C3A8}"/>
  </bookViews>
  <sheets>
    <sheet name="Design Static Calcs" sheetId="1" r:id="rId1"/>
  </sheets>
  <externalReferences>
    <externalReference r:id="rId2"/>
    <externalReference r:id="rId3"/>
  </externalReferences>
  <definedNames>
    <definedName name="_xlnm.Print_Area" localSheetId="0">'Design Static Calcs'!$A:$H</definedName>
    <definedName name="_xlnm.Print_Area">'[1]Filter costs data'!#REF!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380" i="1" l="1"/>
  <c r="B1379" i="1"/>
  <c r="B1381" i="1" s="1"/>
  <c r="B1341" i="1"/>
  <c r="B1342" i="1" s="1"/>
  <c r="B1340" i="1"/>
  <c r="B1350" i="1" s="1"/>
  <c r="B1359" i="1" s="1"/>
  <c r="B1335" i="1"/>
  <c r="B1332" i="1"/>
  <c r="B1318" i="1"/>
  <c r="B1313" i="1"/>
  <c r="B1312" i="1"/>
  <c r="B1321" i="1" s="1"/>
  <c r="B1304" i="1"/>
  <c r="B1303" i="1"/>
  <c r="B1294" i="1"/>
  <c r="B1289" i="1"/>
  <c r="B1284" i="1"/>
  <c r="B1285" i="1" s="1"/>
  <c r="B1277" i="1"/>
  <c r="B1274" i="1"/>
  <c r="B1275" i="1" s="1"/>
  <c r="B1273" i="1"/>
  <c r="B1283" i="1" s="1"/>
  <c r="B1268" i="1"/>
  <c r="B1267" i="1"/>
  <c r="B1266" i="1"/>
  <c r="B1265" i="1"/>
  <c r="B1264" i="1"/>
  <c r="B1263" i="1"/>
  <c r="B1262" i="1"/>
  <c r="B1261" i="1"/>
  <c r="B1260" i="1"/>
  <c r="B1259" i="1"/>
  <c r="B1258" i="1"/>
  <c r="B1257" i="1"/>
  <c r="B1256" i="1"/>
  <c r="B1248" i="1"/>
  <c r="B1249" i="1" s="1"/>
  <c r="B1247" i="1"/>
  <c r="B1244" i="1"/>
  <c r="B1239" i="1"/>
  <c r="B1240" i="1" s="1"/>
  <c r="B1238" i="1"/>
  <c r="B1235" i="1"/>
  <c r="B1229" i="1"/>
  <c r="B1226" i="1"/>
  <c r="B1217" i="1"/>
  <c r="B1208" i="1"/>
  <c r="B1199" i="1"/>
  <c r="B1190" i="1"/>
  <c r="B1181" i="1"/>
  <c r="B1176" i="1"/>
  <c r="B1172" i="1"/>
  <c r="B1167" i="1"/>
  <c r="B1168" i="1" s="1"/>
  <c r="B1166" i="1"/>
  <c r="B1163" i="1"/>
  <c r="B1157" i="1"/>
  <c r="B1154" i="1"/>
  <c r="B1145" i="1"/>
  <c r="B1136" i="1"/>
  <c r="B1127" i="1"/>
  <c r="B1122" i="1"/>
  <c r="B1185" i="1" s="1"/>
  <c r="B1121" i="1"/>
  <c r="B1175" i="1" s="1"/>
  <c r="B1114" i="1"/>
  <c r="B1112" i="1"/>
  <c r="B1108" i="1"/>
  <c r="B1084" i="1"/>
  <c r="B1096" i="1" s="1"/>
  <c r="B1083" i="1"/>
  <c r="B1095" i="1" s="1"/>
  <c r="B1077" i="1"/>
  <c r="B1055" i="1"/>
  <c r="B1067" i="1" s="1"/>
  <c r="B1028" i="1"/>
  <c r="F1017" i="1"/>
  <c r="B1015" i="1"/>
  <c r="B1016" i="1" s="1"/>
  <c r="F1010" i="1"/>
  <c r="F1011" i="1" s="1"/>
  <c r="F1019" i="1" s="1"/>
  <c r="F1020" i="1" s="1"/>
  <c r="F1009" i="1"/>
  <c r="F1007" i="1"/>
  <c r="F1008" i="1" s="1"/>
  <c r="F1006" i="1"/>
  <c r="F1004" i="1"/>
  <c r="F1005" i="1" s="1"/>
  <c r="F1003" i="1"/>
  <c r="B1002" i="1"/>
  <c r="B1026" i="1" s="1"/>
  <c r="B999" i="1"/>
  <c r="B994" i="1"/>
  <c r="B1014" i="1" s="1"/>
  <c r="B993" i="1"/>
  <c r="B1003" i="1" s="1"/>
  <c r="B987" i="1"/>
  <c r="B984" i="1"/>
  <c r="B982" i="1"/>
  <c r="B981" i="1"/>
  <c r="B979" i="1"/>
  <c r="B977" i="1"/>
  <c r="B975" i="1"/>
  <c r="B971" i="1"/>
  <c r="B967" i="1"/>
  <c r="B962" i="1"/>
  <c r="B963" i="1" s="1"/>
  <c r="B954" i="1"/>
  <c r="B955" i="1" s="1"/>
  <c r="B956" i="1" s="1"/>
  <c r="B960" i="1" s="1"/>
  <c r="B983" i="1" s="1"/>
  <c r="B953" i="1"/>
  <c r="B952" i="1"/>
  <c r="B948" i="1"/>
  <c r="B947" i="1"/>
  <c r="B942" i="1"/>
  <c r="B943" i="1" s="1"/>
  <c r="B939" i="1"/>
  <c r="B924" i="1"/>
  <c r="B925" i="1" s="1"/>
  <c r="B922" i="1"/>
  <c r="B914" i="1"/>
  <c r="B913" i="1"/>
  <c r="B912" i="1"/>
  <c r="B921" i="1" s="1"/>
  <c r="B909" i="1"/>
  <c r="B904" i="1"/>
  <c r="B894" i="1"/>
  <c r="B891" i="1"/>
  <c r="B887" i="1"/>
  <c r="B905" i="1" s="1"/>
  <c r="B886" i="1"/>
  <c r="B895" i="1" s="1"/>
  <c r="B896" i="1" s="1"/>
  <c r="B885" i="1"/>
  <c r="B903" i="1" s="1"/>
  <c r="B874" i="1"/>
  <c r="B875" i="1" s="1"/>
  <c r="B873" i="1"/>
  <c r="B867" i="1"/>
  <c r="B863" i="1"/>
  <c r="B862" i="1"/>
  <c r="B871" i="1" s="1"/>
  <c r="B872" i="1" s="1"/>
  <c r="B861" i="1"/>
  <c r="B870" i="1" s="1"/>
  <c r="B854" i="1"/>
  <c r="B859" i="1" s="1"/>
  <c r="B848" i="1"/>
  <c r="B846" i="1"/>
  <c r="B847" i="1" s="1"/>
  <c r="B849" i="1" s="1"/>
  <c r="B850" i="1" s="1"/>
  <c r="B845" i="1"/>
  <c r="B816" i="1"/>
  <c r="B815" i="1"/>
  <c r="B814" i="1"/>
  <c r="B813" i="1"/>
  <c r="B808" i="1"/>
  <c r="B825" i="1" s="1"/>
  <c r="B834" i="1" s="1"/>
  <c r="B807" i="1"/>
  <c r="B824" i="1" s="1"/>
  <c r="B833" i="1" s="1"/>
  <c r="B839" i="1" s="1"/>
  <c r="B798" i="1"/>
  <c r="B782" i="1"/>
  <c r="B783" i="1" s="1"/>
  <c r="B784" i="1" s="1"/>
  <c r="B786" i="1" s="1"/>
  <c r="B790" i="1" s="1"/>
  <c r="B970" i="1" s="1"/>
  <c r="B781" i="1"/>
  <c r="B780" i="1"/>
  <c r="B793" i="1" s="1"/>
  <c r="B779" i="1"/>
  <c r="B792" i="1" s="1"/>
  <c r="B802" i="1" s="1"/>
  <c r="B774" i="1"/>
  <c r="B757" i="1"/>
  <c r="B752" i="1"/>
  <c r="B753" i="1" s="1"/>
  <c r="B747" i="1"/>
  <c r="B744" i="1"/>
  <c r="B734" i="1"/>
  <c r="B708" i="1"/>
  <c r="B699" i="1"/>
  <c r="B713" i="1" s="1"/>
  <c r="B691" i="1"/>
  <c r="B689" i="1"/>
  <c r="B690" i="1" s="1"/>
  <c r="B688" i="1"/>
  <c r="B683" i="1"/>
  <c r="B684" i="1" s="1"/>
  <c r="B682" i="1"/>
  <c r="B751" i="1" s="1"/>
  <c r="B760" i="1" s="1"/>
  <c r="B670" i="1"/>
  <c r="B665" i="1"/>
  <c r="B647" i="1"/>
  <c r="B656" i="1" s="1"/>
  <c r="B676" i="1" s="1"/>
  <c r="B700" i="1" s="1"/>
  <c r="B644" i="1"/>
  <c r="B638" i="1"/>
  <c r="B630" i="1"/>
  <c r="B628" i="1"/>
  <c r="B629" i="1" s="1"/>
  <c r="B627" i="1"/>
  <c r="B622" i="1"/>
  <c r="B623" i="1" s="1"/>
  <c r="B621" i="1"/>
  <c r="B601" i="1"/>
  <c r="B598" i="1"/>
  <c r="B584" i="1"/>
  <c r="B572" i="1"/>
  <c r="B571" i="1"/>
  <c r="B573" i="1" s="1"/>
  <c r="B564" i="1"/>
  <c r="B561" i="1"/>
  <c r="B538" i="1"/>
  <c r="B539" i="1" s="1"/>
  <c r="B540" i="1" s="1"/>
  <c r="B544" i="1" s="1"/>
  <c r="B536" i="1"/>
  <c r="B537" i="1" s="1"/>
  <c r="B535" i="1"/>
  <c r="B530" i="1"/>
  <c r="B531" i="1" s="1"/>
  <c r="B529" i="1"/>
  <c r="B523" i="1"/>
  <c r="B519" i="1"/>
  <c r="B515" i="1"/>
  <c r="B503" i="1"/>
  <c r="B507" i="1" s="1"/>
  <c r="B501" i="1"/>
  <c r="B502" i="1" s="1"/>
  <c r="B499" i="1"/>
  <c r="B500" i="1" s="1"/>
  <c r="B498" i="1"/>
  <c r="B493" i="1"/>
  <c r="B494" i="1" s="1"/>
  <c r="B492" i="1"/>
  <c r="B547" i="1" s="1"/>
  <c r="B487" i="1"/>
  <c r="B488" i="1" s="1"/>
  <c r="B486" i="1"/>
  <c r="B482" i="1"/>
  <c r="B476" i="1"/>
  <c r="B466" i="1"/>
  <c r="B440" i="1"/>
  <c r="B441" i="1" s="1"/>
  <c r="B442" i="1" s="1"/>
  <c r="B446" i="1" s="1"/>
  <c r="B438" i="1"/>
  <c r="B439" i="1" s="1"/>
  <c r="B437" i="1"/>
  <c r="B432" i="1"/>
  <c r="B433" i="1" s="1"/>
  <c r="B431" i="1"/>
  <c r="B449" i="1" s="1"/>
  <c r="B426" i="1"/>
  <c r="B427" i="1" s="1"/>
  <c r="B425" i="1"/>
  <c r="B421" i="1"/>
  <c r="B417" i="1"/>
  <c r="B403" i="1"/>
  <c r="B401" i="1"/>
  <c r="B402" i="1" s="1"/>
  <c r="B400" i="1"/>
  <c r="B395" i="1"/>
  <c r="B394" i="1"/>
  <c r="B411" i="1" s="1"/>
  <c r="B389" i="1"/>
  <c r="B388" i="1"/>
  <c r="B390" i="1" s="1"/>
  <c r="B384" i="1"/>
  <c r="B380" i="1"/>
  <c r="B375" i="1"/>
  <c r="B376" i="1" s="1"/>
  <c r="B366" i="1"/>
  <c r="B367" i="1" s="1"/>
  <c r="B368" i="1" s="1"/>
  <c r="B372" i="1" s="1"/>
  <c r="B364" i="1"/>
  <c r="B365" i="1" s="1"/>
  <c r="B363" i="1"/>
  <c r="B358" i="1"/>
  <c r="B357" i="1"/>
  <c r="B374" i="1" s="1"/>
  <c r="B352" i="1"/>
  <c r="B353" i="1" s="1"/>
  <c r="B351" i="1"/>
  <c r="B347" i="1"/>
  <c r="B343" i="1"/>
  <c r="B337" i="1"/>
  <c r="B329" i="1"/>
  <c r="B327" i="1"/>
  <c r="B326" i="1"/>
  <c r="B321" i="1"/>
  <c r="B320" i="1"/>
  <c r="B316" i="1"/>
  <c r="B315" i="1"/>
  <c r="B314" i="1"/>
  <c r="B308" i="1"/>
  <c r="B304" i="1"/>
  <c r="B286" i="1"/>
  <c r="B295" i="1" s="1"/>
  <c r="B283" i="1"/>
  <c r="B278" i="1"/>
  <c r="B287" i="1" s="1"/>
  <c r="B277" i="1"/>
  <c r="B264" i="1"/>
  <c r="B265" i="1" s="1"/>
  <c r="B263" i="1"/>
  <c r="B256" i="1"/>
  <c r="B255" i="1"/>
  <c r="B254" i="1"/>
  <c r="B250" i="1"/>
  <c r="B247" i="1"/>
  <c r="B245" i="1"/>
  <c r="B242" i="1"/>
  <c r="B237" i="1"/>
  <c r="B236" i="1"/>
  <c r="B238" i="1" s="1"/>
  <c r="B232" i="1"/>
  <c r="F231" i="1"/>
  <c r="F232" i="1" s="1"/>
  <c r="F233" i="1" s="1"/>
  <c r="B224" i="1"/>
  <c r="B225" i="1" s="1"/>
  <c r="B223" i="1"/>
  <c r="F220" i="1"/>
  <c r="B214" i="1"/>
  <c r="B215" i="1" s="1"/>
  <c r="F213" i="1"/>
  <c r="B213" i="1"/>
  <c r="F211" i="1"/>
  <c r="F212" i="1" s="1"/>
  <c r="B211" i="1"/>
  <c r="B212" i="1" s="1"/>
  <c r="F210" i="1"/>
  <c r="B210" i="1"/>
  <c r="F209" i="1"/>
  <c r="B207" i="1"/>
  <c r="B202" i="1"/>
  <c r="B201" i="1"/>
  <c r="B203" i="1" s="1"/>
  <c r="F193" i="1"/>
  <c r="F194" i="1" s="1"/>
  <c r="F192" i="1"/>
  <c r="B186" i="1"/>
  <c r="F185" i="1"/>
  <c r="F184" i="1"/>
  <c r="B184" i="1"/>
  <c r="B185" i="1" s="1"/>
  <c r="F183" i="1"/>
  <c r="B183" i="1"/>
  <c r="B187" i="1" s="1"/>
  <c r="B180" i="1"/>
  <c r="B175" i="1"/>
  <c r="B176" i="1" s="1"/>
  <c r="B174" i="1"/>
  <c r="B169" i="1"/>
  <c r="B161" i="1"/>
  <c r="B162" i="1" s="1"/>
  <c r="B160" i="1"/>
  <c r="B157" i="1"/>
  <c r="B152" i="1"/>
  <c r="B153" i="1" s="1"/>
  <c r="B151" i="1"/>
  <c r="B145" i="1"/>
  <c r="B139" i="1"/>
  <c r="B130" i="1"/>
  <c r="B125" i="1"/>
  <c r="B114" i="1"/>
  <c r="B113" i="1"/>
  <c r="B134" i="1" s="1"/>
  <c r="B112" i="1"/>
  <c r="B133" i="1" s="1"/>
  <c r="B104" i="1"/>
  <c r="B105" i="1" s="1"/>
  <c r="B103" i="1"/>
  <c r="B95" i="1"/>
  <c r="B96" i="1" s="1"/>
  <c r="B94" i="1"/>
  <c r="B91" i="1"/>
  <c r="B90" i="1"/>
  <c r="B89" i="1"/>
  <c r="B88" i="1"/>
  <c r="B85" i="1"/>
  <c r="B83" i="1"/>
  <c r="B81" i="1"/>
  <c r="B79" i="1"/>
  <c r="B77" i="1"/>
  <c r="B72" i="1"/>
  <c r="B67" i="1"/>
  <c r="B41" i="1" s="1"/>
  <c r="B63" i="1"/>
  <c r="B61" i="1"/>
  <c r="B62" i="1" s="1"/>
  <c r="B60" i="1"/>
  <c r="B66" i="1" s="1"/>
  <c r="B42" i="1" s="1"/>
  <c r="B43" i="1" s="1"/>
  <c r="B57" i="1"/>
  <c r="B53" i="1"/>
  <c r="B49" i="1"/>
  <c r="B34" i="1"/>
  <c r="B29" i="1"/>
  <c r="B28" i="1"/>
  <c r="B30" i="1" s="1"/>
  <c r="B31" i="1" s="1"/>
  <c r="B27" i="1"/>
  <c r="B26" i="1"/>
  <c r="B17" i="1"/>
  <c r="B20" i="1" s="1"/>
  <c r="B9" i="1"/>
  <c r="B7" i="1"/>
  <c r="B18" i="1" s="1"/>
  <c r="B6" i="1"/>
  <c r="B296" i="1" l="1"/>
  <c r="B297" i="1" s="1"/>
  <c r="B288" i="1"/>
  <c r="B23" i="1"/>
  <c r="B39" i="1"/>
  <c r="B55" i="1" s="1"/>
  <c r="B64" i="1"/>
  <c r="B33" i="1"/>
  <c r="B52" i="1" s="1"/>
  <c r="B58" i="1" s="1"/>
  <c r="B37" i="1"/>
  <c r="B54" i="1" s="1"/>
  <c r="B135" i="1"/>
  <c r="B15" i="1"/>
  <c r="B68" i="1"/>
  <c r="B92" i="1"/>
  <c r="B93" i="1" s="1"/>
  <c r="B279" i="1"/>
  <c r="B817" i="1"/>
  <c r="B818" i="1" s="1"/>
  <c r="B822" i="1" s="1"/>
  <c r="B1305" i="1"/>
  <c r="B412" i="1"/>
  <c r="B413" i="1" s="1"/>
  <c r="B396" i="1"/>
  <c r="B548" i="1"/>
  <c r="B556" i="1"/>
  <c r="B826" i="1"/>
  <c r="F1012" i="1"/>
  <c r="F1016" i="1" s="1"/>
  <c r="F1018" i="1" s="1"/>
  <c r="F1021" i="1" s="1"/>
  <c r="B1177" i="1"/>
  <c r="B458" i="1"/>
  <c r="B701" i="1"/>
  <c r="B712" i="1"/>
  <c r="B725" i="1" s="1"/>
  <c r="B738" i="1" s="1"/>
  <c r="B1286" i="1"/>
  <c r="B1287" i="1" s="1"/>
  <c r="B1288" i="1" s="1"/>
  <c r="B1297" i="1"/>
  <c r="B1278" i="1"/>
  <c r="B1279" i="1" s="1"/>
  <c r="B1281" i="1" s="1"/>
  <c r="B1331" i="1" s="1"/>
  <c r="B1322" i="1"/>
  <c r="B1323" i="1" s="1"/>
  <c r="B1314" i="1"/>
  <c r="B322" i="1"/>
  <c r="B338" i="1"/>
  <c r="B339" i="1" s="1"/>
  <c r="B8" i="1"/>
  <c r="B10" i="1" s="1"/>
  <c r="B328" i="1"/>
  <c r="B330" i="1" s="1"/>
  <c r="B331" i="1" s="1"/>
  <c r="B335" i="1" s="1"/>
  <c r="B714" i="1"/>
  <c r="B726" i="1"/>
  <c r="B404" i="1"/>
  <c r="B405" i="1" s="1"/>
  <c r="B409" i="1" s="1"/>
  <c r="B835" i="1"/>
  <c r="B840" i="1"/>
  <c r="B841" i="1" s="1"/>
  <c r="B1009" i="1"/>
  <c r="B1004" i="1"/>
  <c r="B1097" i="1"/>
  <c r="B44" i="1"/>
  <c r="B45" i="1" s="1"/>
  <c r="B46" i="1" s="1"/>
  <c r="B48" i="1" s="1"/>
  <c r="B56" i="1" s="1"/>
  <c r="B692" i="1"/>
  <c r="B693" i="1" s="1"/>
  <c r="B697" i="1" s="1"/>
  <c r="B794" i="1"/>
  <c r="B801" i="1"/>
  <c r="B803" i="1" s="1"/>
  <c r="B923" i="1"/>
  <c r="B1041" i="1"/>
  <c r="B1029" i="1"/>
  <c r="B1030" i="1" s="1"/>
  <c r="B359" i="1"/>
  <c r="B631" i="1"/>
  <c r="B632" i="1" s="1"/>
  <c r="B636" i="1" s="1"/>
  <c r="B546" i="1"/>
  <c r="B555" i="1" s="1"/>
  <c r="B639" i="1"/>
  <c r="B809" i="1"/>
  <c r="B1148" i="1"/>
  <c r="B1158" i="1"/>
  <c r="B1159" i="1" s="1"/>
  <c r="B1220" i="1"/>
  <c r="B1230" i="1"/>
  <c r="B1231" i="1" s="1"/>
  <c r="B448" i="1"/>
  <c r="B457" i="1" s="1"/>
  <c r="B470" i="1"/>
  <c r="B509" i="1" s="1"/>
  <c r="B1139" i="1"/>
  <c r="B1149" i="1"/>
  <c r="B1211" i="1"/>
  <c r="B1221" i="1"/>
  <c r="B1222" i="1" s="1"/>
  <c r="B471" i="1"/>
  <c r="B472" i="1" s="1"/>
  <c r="B510" i="1"/>
  <c r="B934" i="1"/>
  <c r="B935" i="1" s="1"/>
  <c r="B995" i="1"/>
  <c r="B1008" i="1"/>
  <c r="B1085" i="1"/>
  <c r="B1130" i="1"/>
  <c r="B1140" i="1"/>
  <c r="B1141" i="1" s="1"/>
  <c r="B1202" i="1"/>
  <c r="B1212" i="1"/>
  <c r="B1213" i="1" s="1"/>
  <c r="B1351" i="1"/>
  <c r="B583" i="1"/>
  <c r="B592" i="1" s="1"/>
  <c r="B615" i="1" s="1"/>
  <c r="B593" i="1"/>
  <c r="B761" i="1"/>
  <c r="B762" i="1" s="1"/>
  <c r="B964" i="1"/>
  <c r="B965" i="1" s="1"/>
  <c r="B966" i="1" s="1"/>
  <c r="B1131" i="1"/>
  <c r="B1132" i="1" s="1"/>
  <c r="B1193" i="1"/>
  <c r="B1203" i="1"/>
  <c r="B1204" i="1" s="1"/>
  <c r="B795" i="1"/>
  <c r="B1184" i="1"/>
  <c r="B1186" i="1" s="1"/>
  <c r="B1194" i="1"/>
  <c r="B1123" i="1"/>
  <c r="B11" i="1" l="1"/>
  <c r="B13" i="1" s="1"/>
  <c r="B22" i="1" s="1"/>
  <c r="B24" i="1" s="1"/>
  <c r="B16" i="1"/>
  <c r="B1352" i="1"/>
  <c r="B1360" i="1"/>
  <c r="B1361" i="1" s="1"/>
  <c r="B1025" i="1"/>
  <c r="B1010" i="1"/>
  <c r="B569" i="1"/>
  <c r="B570" i="1" s="1"/>
  <c r="B557" i="1"/>
  <c r="B97" i="1"/>
  <c r="B69" i="1"/>
  <c r="B70" i="1" s="1"/>
  <c r="B1005" i="1"/>
  <c r="B996" i="1"/>
  <c r="B796" i="1"/>
  <c r="B797" i="1" s="1"/>
  <c r="B804" i="1"/>
  <c r="B1050" i="1"/>
  <c r="B585" i="1"/>
  <c r="B1150" i="1"/>
  <c r="B459" i="1"/>
  <c r="B616" i="1"/>
  <c r="B617" i="1" s="1"/>
  <c r="B594" i="1"/>
  <c r="B640" i="1"/>
  <c r="B648" i="1"/>
  <c r="B450" i="1"/>
  <c r="B1298" i="1"/>
  <c r="B1299" i="1" s="1"/>
  <c r="B1301" i="1" s="1"/>
  <c r="B1333" i="1" s="1"/>
  <c r="B1306" i="1"/>
  <c r="B524" i="1"/>
  <c r="B525" i="1" s="1"/>
  <c r="B511" i="1"/>
  <c r="B1195" i="1"/>
  <c r="B739" i="1"/>
  <c r="B740" i="1" s="1"/>
  <c r="B727" i="1"/>
  <c r="B649" i="1" l="1"/>
  <c r="B657" i="1"/>
  <c r="B1040" i="1"/>
  <c r="B1027" i="1"/>
  <c r="B997" i="1"/>
  <c r="B998" i="1" s="1"/>
  <c r="B1017" i="1"/>
  <c r="B1018" i="1" s="1"/>
  <c r="B1019" i="1" s="1"/>
  <c r="B1023" i="1" s="1"/>
  <c r="B1109" i="1" s="1"/>
  <c r="B1011" i="1"/>
  <c r="B1006" i="1"/>
  <c r="B1007" i="1" s="1"/>
  <c r="B1021" i="1" s="1"/>
  <c r="B1059" i="1"/>
  <c r="B805" i="1"/>
  <c r="B806" i="1" s="1"/>
  <c r="B810" i="1"/>
  <c r="B1307" i="1"/>
  <c r="B1308" i="1" s="1"/>
  <c r="B1310" i="1" s="1"/>
  <c r="B1334" i="1" s="1"/>
  <c r="B1315" i="1"/>
  <c r="B73" i="1"/>
  <c r="B74" i="1"/>
  <c r="B98" i="1"/>
  <c r="B99" i="1" s="1"/>
  <c r="B101" i="1" s="1"/>
  <c r="B142" i="1" s="1"/>
  <c r="B106" i="1"/>
  <c r="B1012" i="1" l="1"/>
  <c r="B1013" i="1" s="1"/>
  <c r="B1032" i="1"/>
  <c r="B75" i="1"/>
  <c r="B1316" i="1"/>
  <c r="B1317" i="1" s="1"/>
  <c r="B1325" i="1"/>
  <c r="B811" i="1"/>
  <c r="B812" i="1" s="1"/>
  <c r="B820" i="1" s="1"/>
  <c r="B972" i="1" s="1"/>
  <c r="B827" i="1"/>
  <c r="B107" i="1"/>
  <c r="B108" i="1" s="1"/>
  <c r="B110" i="1" s="1"/>
  <c r="B115" i="1"/>
  <c r="B1072" i="1"/>
  <c r="B677" i="1"/>
  <c r="B678" i="1" s="1"/>
  <c r="B658" i="1"/>
  <c r="B1049" i="1"/>
  <c r="B1042" i="1"/>
  <c r="B828" i="1" l="1"/>
  <c r="B829" i="1" s="1"/>
  <c r="B831" i="1" s="1"/>
  <c r="B973" i="1" s="1"/>
  <c r="B836" i="1"/>
  <c r="B1344" i="1"/>
  <c r="B1326" i="1"/>
  <c r="B1327" i="1" s="1"/>
  <c r="B1329" i="1" s="1"/>
  <c r="B1336" i="1" s="1"/>
  <c r="B1337" i="1" s="1"/>
  <c r="B1058" i="1"/>
  <c r="B1051" i="1"/>
  <c r="B1081" i="1"/>
  <c r="B136" i="1"/>
  <c r="B116" i="1"/>
  <c r="B117" i="1" s="1"/>
  <c r="B119" i="1" s="1"/>
  <c r="B1035" i="1"/>
  <c r="B1036" i="1" s="1"/>
  <c r="B1043" i="1"/>
  <c r="B1033" i="1"/>
  <c r="B1034" i="1" s="1"/>
  <c r="B1038" i="1" s="1"/>
  <c r="B1110" i="1" s="1"/>
  <c r="B143" i="1"/>
  <c r="B131" i="1"/>
  <c r="B147" i="1" s="1"/>
  <c r="B1044" i="1" l="1"/>
  <c r="B1045" i="1" s="1"/>
  <c r="B1047" i="1" s="1"/>
  <c r="B1052" i="1"/>
  <c r="B1071" i="1"/>
  <c r="B1060" i="1"/>
  <c r="B123" i="1"/>
  <c r="B144" i="1" s="1"/>
  <c r="B148" i="1" s="1"/>
  <c r="B127" i="1"/>
  <c r="B146" i="1" s="1"/>
  <c r="B154" i="1"/>
  <c r="B137" i="1"/>
  <c r="B138" i="1" s="1"/>
  <c r="B842" i="1"/>
  <c r="B837" i="1"/>
  <c r="B838" i="1" s="1"/>
  <c r="B1353" i="1"/>
  <c r="B1345" i="1"/>
  <c r="B1346" i="1" s="1"/>
  <c r="B1348" i="1" s="1"/>
  <c r="B1369" i="1" s="1"/>
  <c r="B155" i="1" l="1"/>
  <c r="B156" i="1" s="1"/>
  <c r="B163" i="1"/>
  <c r="B1354" i="1"/>
  <c r="B1355" i="1" s="1"/>
  <c r="B1357" i="1" s="1"/>
  <c r="B1370" i="1" s="1"/>
  <c r="B1372" i="1" s="1"/>
  <c r="B1363" i="1"/>
  <c r="B1364" i="1" s="1"/>
  <c r="B1365" i="1" s="1"/>
  <c r="B1367" i="1" s="1"/>
  <c r="B1371" i="1" s="1"/>
  <c r="B843" i="1"/>
  <c r="B844" i="1" s="1"/>
  <c r="B852" i="1" s="1"/>
  <c r="B858" i="1" s="1"/>
  <c r="B974" i="1" s="1"/>
  <c r="B864" i="1"/>
  <c r="B1053" i="1"/>
  <c r="B1054" i="1" s="1"/>
  <c r="B1061" i="1"/>
  <c r="B1080" i="1"/>
  <c r="B1082" i="1" s="1"/>
  <c r="B1073" i="1"/>
  <c r="B865" i="1" l="1"/>
  <c r="B866" i="1" s="1"/>
  <c r="B888" i="1"/>
  <c r="B877" i="1"/>
  <c r="B177" i="1"/>
  <c r="B164" i="1"/>
  <c r="B165" i="1" s="1"/>
  <c r="B167" i="1" s="1"/>
  <c r="B170" i="1" s="1"/>
  <c r="B171" i="1" s="1"/>
  <c r="B1074" i="1"/>
  <c r="B1062" i="1"/>
  <c r="B1063" i="1" s="1"/>
  <c r="B1065" i="1" s="1"/>
  <c r="B188" i="1" l="1"/>
  <c r="B178" i="1"/>
  <c r="B179" i="1" s="1"/>
  <c r="B880" i="1"/>
  <c r="B881" i="1" s="1"/>
  <c r="B878" i="1"/>
  <c r="B879" i="1" s="1"/>
  <c r="B883" i="1" s="1"/>
  <c r="B976" i="1" s="1"/>
  <c r="B1087" i="1"/>
  <c r="B1075" i="1"/>
  <c r="B1076" i="1" s="1"/>
  <c r="B906" i="1"/>
  <c r="B889" i="1"/>
  <c r="B890" i="1" s="1"/>
  <c r="B897" i="1"/>
  <c r="B898" i="1" s="1"/>
  <c r="B899" i="1" s="1"/>
  <c r="B901" i="1" s="1"/>
  <c r="B978" i="1" s="1"/>
  <c r="B1069" i="1"/>
  <c r="B1113" i="1" s="1"/>
  <c r="B1111" i="1"/>
  <c r="B1098" i="1" l="1"/>
  <c r="B1088" i="1"/>
  <c r="B1089" i="1" s="1"/>
  <c r="B1093" i="1" s="1"/>
  <c r="B1115" i="1" s="1"/>
  <c r="B1090" i="1"/>
  <c r="B1091" i="1" s="1"/>
  <c r="B915" i="1"/>
  <c r="B907" i="1"/>
  <c r="B908" i="1" s="1"/>
  <c r="B226" i="1"/>
  <c r="B189" i="1"/>
  <c r="B190" i="1" s="1"/>
  <c r="B204" i="1"/>
  <c r="B205" i="1" s="1"/>
  <c r="B206" i="1" s="1"/>
  <c r="B191" i="1"/>
  <c r="B192" i="1" s="1"/>
  <c r="B194" i="1" s="1"/>
  <c r="F186" i="1"/>
  <c r="B227" i="1" l="1"/>
  <c r="B228" i="1" s="1"/>
  <c r="B230" i="1" s="1"/>
  <c r="B234" i="1" s="1"/>
  <c r="B249" i="1" s="1"/>
  <c r="B239" i="1"/>
  <c r="B240" i="1" s="1"/>
  <c r="B241" i="1" s="1"/>
  <c r="B216" i="1"/>
  <c r="F187" i="1"/>
  <c r="F188" i="1" s="1"/>
  <c r="F190" i="1" s="1"/>
  <c r="F196" i="1"/>
  <c r="F197" i="1" s="1"/>
  <c r="F198" i="1" s="1"/>
  <c r="F222" i="1" s="1"/>
  <c r="B927" i="1"/>
  <c r="B916" i="1"/>
  <c r="B917" i="1" s="1"/>
  <c r="B919" i="1" s="1"/>
  <c r="B980" i="1" s="1"/>
  <c r="B985" i="1" s="1"/>
  <c r="B1099" i="1"/>
  <c r="B1100" i="1" s="1"/>
  <c r="B1102" i="1" s="1"/>
  <c r="B1106" i="1" s="1"/>
  <c r="B1116" i="1" s="1"/>
  <c r="B1117" i="1" s="1"/>
  <c r="B1124" i="1"/>
  <c r="B219" i="1" l="1"/>
  <c r="B220" i="1" s="1"/>
  <c r="F214" i="1"/>
  <c r="F215" i="1" s="1"/>
  <c r="F216" i="1" s="1"/>
  <c r="F218" i="1" s="1"/>
  <c r="B217" i="1"/>
  <c r="B218" i="1" s="1"/>
  <c r="B257" i="1"/>
  <c r="F223" i="1"/>
  <c r="B195" i="1" s="1"/>
  <c r="B199" i="1" s="1"/>
  <c r="B246" i="1" s="1"/>
  <c r="B1133" i="1"/>
  <c r="B1125" i="1"/>
  <c r="B1126" i="1" s="1"/>
  <c r="B936" i="1"/>
  <c r="B930" i="1"/>
  <c r="B931" i="1" s="1"/>
  <c r="B928" i="1"/>
  <c r="B929" i="1" s="1"/>
  <c r="B1142" i="1" l="1"/>
  <c r="B1134" i="1"/>
  <c r="B1135" i="1" s="1"/>
  <c r="B266" i="1"/>
  <c r="B258" i="1"/>
  <c r="B259" i="1" s="1"/>
  <c r="B261" i="1" s="1"/>
  <c r="B272" i="1" s="1"/>
  <c r="B937" i="1"/>
  <c r="B938" i="1" s="1"/>
  <c r="B944" i="1"/>
  <c r="B221" i="1"/>
  <c r="B248" i="1" s="1"/>
  <c r="B251" i="1" s="1"/>
  <c r="B945" i="1" l="1"/>
  <c r="B946" i="1" s="1"/>
  <c r="B949" i="1"/>
  <c r="B950" i="1" s="1"/>
  <c r="B951" i="1" s="1"/>
  <c r="B958" i="1" s="1"/>
  <c r="B280" i="1"/>
  <c r="B267" i="1"/>
  <c r="B268" i="1" s="1"/>
  <c r="B270" i="1" s="1"/>
  <c r="B273" i="1" s="1"/>
  <c r="B274" i="1" s="1"/>
  <c r="B1143" i="1"/>
  <c r="B1144" i="1" s="1"/>
  <c r="B1151" i="1"/>
  <c r="B1152" i="1" l="1"/>
  <c r="B1153" i="1" s="1"/>
  <c r="B1160" i="1"/>
  <c r="B281" i="1"/>
  <c r="B282" i="1" s="1"/>
  <c r="B289" i="1"/>
  <c r="B298" i="1" l="1"/>
  <c r="B290" i="1"/>
  <c r="B291" i="1" s="1"/>
  <c r="B293" i="1" s="1"/>
  <c r="B309" i="1" s="1"/>
  <c r="B1161" i="1"/>
  <c r="B1162" i="1" s="1"/>
  <c r="B1169" i="1"/>
  <c r="B1170" i="1" l="1"/>
  <c r="B1171" i="1" s="1"/>
  <c r="B1178" i="1"/>
  <c r="B317" i="1"/>
  <c r="B299" i="1"/>
  <c r="B300" i="1" s="1"/>
  <c r="B302" i="1" s="1"/>
  <c r="B306" i="1" s="1"/>
  <c r="B310" i="1" s="1"/>
  <c r="B311" i="1" s="1"/>
  <c r="B323" i="1" l="1"/>
  <c r="B318" i="1"/>
  <c r="B319" i="1" s="1"/>
  <c r="B1179" i="1"/>
  <c r="B1180" i="1" s="1"/>
  <c r="B1187" i="1"/>
  <c r="B1188" i="1" l="1"/>
  <c r="B1189" i="1" s="1"/>
  <c r="B1196" i="1"/>
  <c r="B340" i="1"/>
  <c r="B324" i="1"/>
  <c r="B325" i="1" s="1"/>
  <c r="B333" i="1" s="1"/>
  <c r="B346" i="1" s="1"/>
  <c r="B348" i="1" s="1"/>
  <c r="B354" i="1" l="1"/>
  <c r="B341" i="1"/>
  <c r="B342" i="1" s="1"/>
  <c r="B1205" i="1"/>
  <c r="B1197" i="1"/>
  <c r="B1198" i="1" s="1"/>
  <c r="B1214" i="1" l="1"/>
  <c r="B1206" i="1"/>
  <c r="B1207" i="1" s="1"/>
  <c r="B355" i="1"/>
  <c r="B356" i="1" s="1"/>
  <c r="B360" i="1"/>
  <c r="B361" i="1" l="1"/>
  <c r="B362" i="1" s="1"/>
  <c r="B370" i="1" s="1"/>
  <c r="B383" i="1" s="1"/>
  <c r="B385" i="1" s="1"/>
  <c r="B377" i="1"/>
  <c r="B1215" i="1"/>
  <c r="B1216" i="1" s="1"/>
  <c r="B1223" i="1"/>
  <c r="B391" i="1" l="1"/>
  <c r="B378" i="1"/>
  <c r="B379" i="1" s="1"/>
  <c r="B1224" i="1"/>
  <c r="B1225" i="1" s="1"/>
  <c r="B1232" i="1"/>
  <c r="B1233" i="1" l="1"/>
  <c r="B1234" i="1" s="1"/>
  <c r="B1241" i="1"/>
  <c r="B392" i="1"/>
  <c r="B393" i="1" s="1"/>
  <c r="B397" i="1"/>
  <c r="B398" i="1" l="1"/>
  <c r="B399" i="1" s="1"/>
  <c r="B407" i="1" s="1"/>
  <c r="B420" i="1" s="1"/>
  <c r="B422" i="1" s="1"/>
  <c r="B414" i="1"/>
  <c r="B1242" i="1"/>
  <c r="B1243" i="1" s="1"/>
  <c r="B1250" i="1"/>
  <c r="B1251" i="1" s="1"/>
  <c r="B1252" i="1" s="1"/>
  <c r="B1254" i="1" s="1"/>
  <c r="B1269" i="1" s="1"/>
  <c r="B1270" i="1" s="1"/>
  <c r="B428" i="1" l="1"/>
  <c r="B415" i="1"/>
  <c r="B416" i="1" s="1"/>
  <c r="B429" i="1" l="1"/>
  <c r="B430" i="1" s="1"/>
  <c r="B434" i="1"/>
  <c r="B473" i="1" l="1"/>
  <c r="B451" i="1"/>
  <c r="B435" i="1"/>
  <c r="B436" i="1" s="1"/>
  <c r="B444" i="1" s="1"/>
  <c r="B479" i="1" s="1"/>
  <c r="B452" i="1" l="1"/>
  <c r="B453" i="1" s="1"/>
  <c r="B455" i="1" s="1"/>
  <c r="B480" i="1" s="1"/>
  <c r="B483" i="1" s="1"/>
  <c r="B460" i="1"/>
  <c r="B461" i="1" s="1"/>
  <c r="B462" i="1" s="1"/>
  <c r="B464" i="1" s="1"/>
  <c r="B468" i="1" s="1"/>
  <c r="B481" i="1" s="1"/>
  <c r="B474" i="1"/>
  <c r="B475" i="1" s="1"/>
  <c r="B489" i="1"/>
  <c r="B490" i="1" l="1"/>
  <c r="B491" i="1" s="1"/>
  <c r="B495" i="1"/>
  <c r="B512" i="1" l="1"/>
  <c r="B496" i="1"/>
  <c r="B497" i="1" s="1"/>
  <c r="B505" i="1" s="1"/>
  <c r="B518" i="1" s="1"/>
  <c r="B520" i="1" s="1"/>
  <c r="B513" i="1" l="1"/>
  <c r="B514" i="1" s="1"/>
  <c r="B526" i="1"/>
  <c r="B532" i="1" l="1"/>
  <c r="B527" i="1"/>
  <c r="B528" i="1" s="1"/>
  <c r="B533" i="1" l="1"/>
  <c r="B534" i="1" s="1"/>
  <c r="B542" i="1" s="1"/>
  <c r="B606" i="1" s="1"/>
  <c r="B549" i="1"/>
  <c r="B550" i="1" l="1"/>
  <c r="B551" i="1" s="1"/>
  <c r="B553" i="1" s="1"/>
  <c r="B607" i="1" s="1"/>
  <c r="B558" i="1"/>
  <c r="B575" i="1" l="1"/>
  <c r="B559" i="1"/>
  <c r="B560" i="1" s="1"/>
  <c r="B562" i="1" s="1"/>
  <c r="B566" i="1" s="1"/>
  <c r="B608" i="1" s="1"/>
  <c r="B578" i="1" l="1"/>
  <c r="B579" i="1" s="1"/>
  <c r="B586" i="1"/>
  <c r="B576" i="1"/>
  <c r="B577" i="1" s="1"/>
  <c r="B581" i="1" s="1"/>
  <c r="B609" i="1" s="1"/>
  <c r="B595" i="1" l="1"/>
  <c r="B587" i="1"/>
  <c r="B588" i="1" s="1"/>
  <c r="B590" i="1" s="1"/>
  <c r="B610" i="1" s="1"/>
  <c r="B596" i="1" l="1"/>
  <c r="B597" i="1" s="1"/>
  <c r="B599" i="1" s="1"/>
  <c r="B603" i="1" s="1"/>
  <c r="B611" i="1" s="1"/>
  <c r="B612" i="1" s="1"/>
  <c r="B618" i="1"/>
  <c r="B624" i="1" l="1"/>
  <c r="B619" i="1"/>
  <c r="B620" i="1" s="1"/>
  <c r="B625" i="1" l="1"/>
  <c r="B626" i="1" s="1"/>
  <c r="B634" i="1" s="1"/>
  <c r="B669" i="1" s="1"/>
  <c r="B641" i="1"/>
  <c r="B642" i="1" l="1"/>
  <c r="B643" i="1" s="1"/>
  <c r="B650" i="1"/>
  <c r="B651" i="1" l="1"/>
  <c r="B652" i="1" s="1"/>
  <c r="B654" i="1" s="1"/>
  <c r="B671" i="1" s="1"/>
  <c r="B659" i="1"/>
  <c r="B660" i="1" l="1"/>
  <c r="B661" i="1" s="1"/>
  <c r="B663" i="1" s="1"/>
  <c r="B667" i="1" s="1"/>
  <c r="B672" i="1" s="1"/>
  <c r="B679" i="1"/>
  <c r="B673" i="1"/>
  <c r="B685" i="1" l="1"/>
  <c r="B680" i="1"/>
  <c r="B681" i="1" s="1"/>
  <c r="B686" i="1" l="1"/>
  <c r="B687" i="1" s="1"/>
  <c r="B695" i="1" s="1"/>
  <c r="B769" i="1" s="1"/>
  <c r="B702" i="1"/>
  <c r="B754" i="1"/>
  <c r="B763" i="1" l="1"/>
  <c r="B764" i="1" s="1"/>
  <c r="B765" i="1" s="1"/>
  <c r="B767" i="1" s="1"/>
  <c r="B775" i="1" s="1"/>
  <c r="B755" i="1"/>
  <c r="B756" i="1" s="1"/>
  <c r="B715" i="1"/>
  <c r="B703" i="1"/>
  <c r="B704" i="1" s="1"/>
  <c r="B706" i="1" s="1"/>
  <c r="B710" i="1" s="1"/>
  <c r="B770" i="1" s="1"/>
  <c r="B716" i="1" l="1"/>
  <c r="B717" i="1" s="1"/>
  <c r="B719" i="1" s="1"/>
  <c r="B723" i="1" s="1"/>
  <c r="B771" i="1" s="1"/>
  <c r="B728" i="1"/>
  <c r="B741" i="1" l="1"/>
  <c r="B742" i="1" s="1"/>
  <c r="B743" i="1" s="1"/>
  <c r="B745" i="1" s="1"/>
  <c r="B749" i="1" s="1"/>
  <c r="B773" i="1" s="1"/>
  <c r="B776" i="1" s="1"/>
  <c r="B729" i="1"/>
  <c r="B730" i="1" s="1"/>
  <c r="B732" i="1" s="1"/>
  <c r="B736" i="1" s="1"/>
  <c r="B772" i="1" s="1"/>
</calcChain>
</file>

<file path=xl/sharedStrings.xml><?xml version="1.0" encoding="utf-8"?>
<sst xmlns="http://schemas.openxmlformats.org/spreadsheetml/2006/main" count="2680" uniqueCount="306">
  <si>
    <t>AS DESIGNED LOSS CALCULATION</t>
  </si>
  <si>
    <t>OA intake system loss</t>
  </si>
  <si>
    <t xml:space="preserve">Loss for louvers and moving to duct intake - </t>
  </si>
  <si>
    <t>in.w.c. (allowance)</t>
  </si>
  <si>
    <t>OA Duct from 20A to 20D and plenum on 20D)</t>
  </si>
  <si>
    <t xml:space="preserve">Entry loss </t>
  </si>
  <si>
    <t xml:space="preserve">Duct height - </t>
  </si>
  <si>
    <t>inches</t>
  </si>
  <si>
    <t xml:space="preserve">Duct width - </t>
  </si>
  <si>
    <t xml:space="preserve">Duct area - </t>
  </si>
  <si>
    <t>sq.ft.</t>
  </si>
  <si>
    <t xml:space="preserve">Duct flow rate - </t>
  </si>
  <si>
    <t>cfm (AHU8, AHU10, AHU12 on 100% OA)</t>
  </si>
  <si>
    <t xml:space="preserve">Duct velocity - </t>
  </si>
  <si>
    <t>fpm</t>
  </si>
  <si>
    <t xml:space="preserve">Velocity pressure - </t>
  </si>
  <si>
    <t>in.w.c.</t>
  </si>
  <si>
    <r>
      <t>C</t>
    </r>
    <r>
      <rPr>
        <vertAlign val="subscript"/>
        <sz val="11"/>
        <color theme="1"/>
        <rFont val="Comic Sans MS"/>
        <family val="4"/>
      </rPr>
      <t>0</t>
    </r>
    <r>
      <rPr>
        <sz val="11"/>
        <color theme="1"/>
        <rFont val="Comic Sans MS"/>
        <family val="2"/>
      </rPr>
      <t xml:space="preserve"> for duct entry - </t>
    </r>
  </si>
  <si>
    <t>(ASHRAE Duct Fitting Data Base)</t>
  </si>
  <si>
    <t xml:space="preserve">Entry loss - </t>
  </si>
  <si>
    <t>Plenum run</t>
  </si>
  <si>
    <t xml:space="preserve">Flow rate - </t>
  </si>
  <si>
    <t xml:space="preserve">Duct length - </t>
  </si>
  <si>
    <t>ft.</t>
  </si>
  <si>
    <t xml:space="preserve">Circular equivalent - </t>
  </si>
  <si>
    <t>inches (equation 25 ASHRAE 2009 Handbook, Ch 21)</t>
  </si>
  <si>
    <t xml:space="preserve">Assumed friction rate - </t>
  </si>
  <si>
    <t>in.w.c./100 ft. (large duct at 750 fpm from friction chart)</t>
  </si>
  <si>
    <t xml:space="preserve">Loss - </t>
  </si>
  <si>
    <t>Summary</t>
  </si>
  <si>
    <t xml:space="preserve">Plenum loss - </t>
  </si>
  <si>
    <t xml:space="preserve">TOTAL - </t>
  </si>
  <si>
    <t>OA Duct run - plenum to plenum</t>
  </si>
  <si>
    <t>cfm</t>
  </si>
  <si>
    <t>in.w.c. (ASHRAE Fitting Data Base)</t>
  </si>
  <si>
    <r>
      <t>C</t>
    </r>
    <r>
      <rPr>
        <vertAlign val="subscript"/>
        <sz val="11"/>
        <color theme="1"/>
        <rFont val="Comic Sans MS"/>
        <family val="4"/>
      </rPr>
      <t>0</t>
    </r>
    <r>
      <rPr>
        <sz val="11"/>
        <color theme="1"/>
        <rFont val="Comic Sans MS"/>
        <family val="2"/>
      </rPr>
      <t xml:space="preserve"> for duct exit - </t>
    </r>
  </si>
  <si>
    <t>AHU OA Plenum</t>
  </si>
  <si>
    <t>in.w.c. (assume no more than the intake plenum)</t>
  </si>
  <si>
    <t>Duct run - plenum to OA damper</t>
  </si>
  <si>
    <t xml:space="preserve">Plenum to plenum OA duct - </t>
  </si>
  <si>
    <t xml:space="preserve">Exit loss - </t>
  </si>
  <si>
    <t xml:space="preserve">AHU OA plenum - </t>
  </si>
  <si>
    <t xml:space="preserve">AHU OA duct entry loss - </t>
  </si>
  <si>
    <t xml:space="preserve">AHU OA duct - </t>
  </si>
  <si>
    <t>Design Damper Pressure Drop - 100% OA</t>
  </si>
  <si>
    <t xml:space="preserve">Max plus min OA damper length - </t>
  </si>
  <si>
    <t xml:space="preserve">Max plus min OA damper width - </t>
  </si>
  <si>
    <t xml:space="preserve">Max plus min OA damper area - </t>
  </si>
  <si>
    <t xml:space="preserve">Velocity - </t>
  </si>
  <si>
    <t xml:space="preserve">Damper pressure drop - </t>
  </si>
  <si>
    <t>in.w.c. (From T.A. Morrison curve to the right)</t>
  </si>
  <si>
    <t xml:space="preserve"> Plenum height - </t>
  </si>
  <si>
    <t xml:space="preserve">Plenum width - </t>
  </si>
  <si>
    <t xml:space="preserve">Plenum velocity - </t>
  </si>
  <si>
    <t xml:space="preserve">Plenum velocity pressure - </t>
  </si>
  <si>
    <r>
      <t>C</t>
    </r>
    <r>
      <rPr>
        <vertAlign val="subscript"/>
        <sz val="11"/>
        <color theme="1"/>
        <rFont val="Comic Sans MS"/>
        <family val="4"/>
      </rPr>
      <t>0</t>
    </r>
    <r>
      <rPr>
        <sz val="11"/>
        <color theme="1"/>
        <rFont val="Comic Sans MS"/>
        <family val="2"/>
      </rPr>
      <t xml:space="preserve"> for damper entry - </t>
    </r>
  </si>
  <si>
    <t>Same size as damper</t>
  </si>
  <si>
    <r>
      <t>C</t>
    </r>
    <r>
      <rPr>
        <vertAlign val="subscript"/>
        <sz val="11"/>
        <color theme="1"/>
        <rFont val="Comic Sans MS"/>
        <family val="4"/>
      </rPr>
      <t>0</t>
    </r>
    <r>
      <rPr>
        <sz val="11"/>
        <color theme="1"/>
        <rFont val="Comic Sans MS"/>
        <family val="2"/>
      </rPr>
      <t xml:space="preserve"> for damper exit - </t>
    </r>
  </si>
  <si>
    <t xml:space="preserve">Total damper pressure drop - </t>
  </si>
  <si>
    <t>Prefilter pressure drop allowance</t>
  </si>
  <si>
    <t xml:space="preserve">Pressure drop allowance - </t>
  </si>
  <si>
    <t>in.w.c. (Nothing specific called out; use shop drawing data)</t>
  </si>
  <si>
    <t>Heating coil pressure drop</t>
  </si>
  <si>
    <t>in.w.c. (Equipment schedule)</t>
  </si>
  <si>
    <t>Cooling coil pressure drop</t>
  </si>
  <si>
    <t>Final filters pressure drop allowance</t>
  </si>
  <si>
    <t>Sound attenuators</t>
  </si>
  <si>
    <t>Discharge duct loss to vertical duct down on 20C</t>
  </si>
  <si>
    <t xml:space="preserve">Plenum wall thickness - </t>
  </si>
  <si>
    <t xml:space="preserve">Plenum height - </t>
  </si>
  <si>
    <t xml:space="preserve">Plenum area - </t>
  </si>
  <si>
    <t xml:space="preserve">Plenum flow rate - </t>
  </si>
  <si>
    <t xml:space="preserve">cfm </t>
  </si>
  <si>
    <t>90° mitered elbow loss (typical of 2)</t>
  </si>
  <si>
    <r>
      <t>C</t>
    </r>
    <r>
      <rPr>
        <vertAlign val="subscript"/>
        <sz val="11"/>
        <color theme="1"/>
        <rFont val="Comic Sans MS"/>
        <family val="4"/>
      </rPr>
      <t>0</t>
    </r>
    <r>
      <rPr>
        <sz val="11"/>
        <color theme="1"/>
        <rFont val="Comic Sans MS"/>
        <family val="2"/>
      </rPr>
      <t xml:space="preserve"> for fitting - </t>
    </r>
  </si>
  <si>
    <t>(ASHRAE Duct Fitting Data Base;  single thickness vane;  1-1/2" spacing;  CR3-9)</t>
  </si>
  <si>
    <t xml:space="preserve">Fitting loss - </t>
  </si>
  <si>
    <t>in.w.c. per elbow</t>
  </si>
  <si>
    <t xml:space="preserve">25° mitered offset loss </t>
  </si>
  <si>
    <t>(ASHRAE Duct Fitting Data Base;  mitered elbow, no vanes;  25° angle;  CR3-6)</t>
  </si>
  <si>
    <t>Fitting interaction - 90° elbow to 25° mitered offset  - multiplier for 1st offset (see AMCA derived chart to the right)</t>
  </si>
  <si>
    <t xml:space="preserve">Centerline distance between fittings - </t>
  </si>
  <si>
    <t xml:space="preserve">Multiplier - </t>
  </si>
  <si>
    <t>(AMCA Chart)</t>
  </si>
  <si>
    <t xml:space="preserve">Modified loss first 25° offset- </t>
  </si>
  <si>
    <t>Fitting interaction - 25° elbow to 25° mitered offset  - multiplier for 2nd offset (see AMCA derived chart to the right)</t>
  </si>
  <si>
    <t xml:space="preserve">Modified loss 2nd 25° offset- </t>
  </si>
  <si>
    <t>Fitting interaction - 25° offset to 90° mitered elbow with vanes  - multiplier for 2nd elbow (see AMCA derived chart to the right)</t>
  </si>
  <si>
    <t xml:space="preserve">Modified loss 2nd 90° offset- </t>
  </si>
  <si>
    <t>Straight duct</t>
  </si>
  <si>
    <t xml:space="preserve">First 90° elbow - </t>
  </si>
  <si>
    <t xml:space="preserve">First 25° offset - </t>
  </si>
  <si>
    <t xml:space="preserve">Straight duct - </t>
  </si>
  <si>
    <t>in.w.c. (includes duct between fittings and duct from turn down to Level C)</t>
  </si>
  <si>
    <t xml:space="preserve">Second 25° offset - </t>
  </si>
  <si>
    <t xml:space="preserve">Second 90° elbow - </t>
  </si>
  <si>
    <t xml:space="preserve">Total - </t>
  </si>
  <si>
    <t xml:space="preserve">Vertical duct through the first turn on level 20A </t>
  </si>
  <si>
    <t>90° mitered elbow loss</t>
  </si>
  <si>
    <t xml:space="preserve">Elbow to horizontal on level 20A - </t>
  </si>
  <si>
    <t>Level 20A duct up to the FSD at the shaft</t>
  </si>
  <si>
    <t>90° mitered variable inlet/outlet area elbow loss</t>
  </si>
  <si>
    <t>90° mitered elbow loss with vanes</t>
  </si>
  <si>
    <t xml:space="preserve">Duct width - in - </t>
  </si>
  <si>
    <t xml:space="preserve">Duct area - in - </t>
  </si>
  <si>
    <t xml:space="preserve">Duct width - out - </t>
  </si>
  <si>
    <t xml:space="preserve">Duct area - out - </t>
  </si>
  <si>
    <t xml:space="preserve">Duct velocity - in - </t>
  </si>
  <si>
    <t xml:space="preserve">Velocity pressure - in - </t>
  </si>
  <si>
    <t xml:space="preserve">Duct velocity - out - </t>
  </si>
  <si>
    <t>90° mitered elbow loss no vanes</t>
  </si>
  <si>
    <t xml:space="preserve">Velocity pressure - out - </t>
  </si>
  <si>
    <t>(ASHRAE Duct Fitting Data Base; 90° variable inlet/outlet area;  Idelchik 1986 Diagram 6-4) (ASHRAE does not show turning vanes;  not sure how this impacts things but at least one field experience says they could make it worse not better; i.e. pressure drop improved when we took the vanes out.  That experience was for a much bigger area change though)</t>
  </si>
  <si>
    <t xml:space="preserve">Modified loss with improvement factor for vanes - </t>
  </si>
  <si>
    <t>(see calculations to the right)</t>
  </si>
  <si>
    <t>Fitting interaction - 90° elbow to 90° elbow (See AMCA derived chart to the right)</t>
  </si>
  <si>
    <t xml:space="preserve">Modified loss - </t>
  </si>
  <si>
    <t>Transition - Nozzel</t>
  </si>
  <si>
    <t xml:space="preserve">Duct height - out - </t>
  </si>
  <si>
    <t xml:space="preserve">Static change (velocity pressure conversion) - </t>
  </si>
  <si>
    <t xml:space="preserve">in.w.c. </t>
  </si>
  <si>
    <t xml:space="preserve">Improvement factor for vanes - </t>
  </si>
  <si>
    <t>Fitting interaction -Transition to 90° elbow (See AMCA derived chart to the right)</t>
  </si>
  <si>
    <t xml:space="preserve">Transition (conversion to VP) - </t>
  </si>
  <si>
    <t>Through FSD and elbow down</t>
  </si>
  <si>
    <t>FSD loss</t>
  </si>
  <si>
    <t>(ASHRAE Duct Fitting Data Base;  Parallel or Opposed Blade Airfoil Damper;  CR9-4)</t>
  </si>
  <si>
    <t xml:space="preserve">FSD - </t>
  </si>
  <si>
    <t xml:space="preserve">90° elbow - </t>
  </si>
  <si>
    <t>Main shaft to Level 9 take-off</t>
  </si>
  <si>
    <t>Straight duct to offset</t>
  </si>
  <si>
    <t>45° radiused elbow loss - first elbow</t>
  </si>
  <si>
    <t>(ASHRAE Duct Fitting Data Base;  smooth radius with out vanes; CR3-1)</t>
  </si>
  <si>
    <t>45° radiused elbow loss -  second elbow</t>
  </si>
  <si>
    <t>Fitting interaction - elbows (See AMCA derived chart to the right)</t>
  </si>
  <si>
    <t>First 45° elbow -</t>
  </si>
  <si>
    <t xml:space="preserve">Second 45° elbow - </t>
  </si>
  <si>
    <t>Level 9 to Level 8 take-off</t>
  </si>
  <si>
    <t>Flow through main past branch tap</t>
  </si>
  <si>
    <t xml:space="preserve">Duct height in - </t>
  </si>
  <si>
    <t xml:space="preserve">Duct width in - </t>
  </si>
  <si>
    <t xml:space="preserve">Duct area in - </t>
  </si>
  <si>
    <t xml:space="preserve">Duct flow rate in - </t>
  </si>
  <si>
    <t xml:space="preserve">Duct velocity in - </t>
  </si>
  <si>
    <t xml:space="preserve">Velocity pressure in - </t>
  </si>
  <si>
    <t xml:space="preserve">Duct height out - </t>
  </si>
  <si>
    <t xml:space="preserve">Duct width out - </t>
  </si>
  <si>
    <t xml:space="preserve">Duct area out - </t>
  </si>
  <si>
    <t xml:space="preserve">Duct flow rate out - </t>
  </si>
  <si>
    <t xml:space="preserve">Duct velocity out - </t>
  </si>
  <si>
    <t xml:space="preserve">Velocity pressure out - </t>
  </si>
  <si>
    <t xml:space="preserve">Branch height - </t>
  </si>
  <si>
    <t xml:space="preserve">Branch width - </t>
  </si>
  <si>
    <t xml:space="preserve">Branch area - </t>
  </si>
  <si>
    <t xml:space="preserve">Branch flow rate - </t>
  </si>
  <si>
    <t xml:space="preserve">Branch velocity - </t>
  </si>
  <si>
    <t xml:space="preserve">Branch velocity pressure - </t>
  </si>
  <si>
    <r>
      <t>C</t>
    </r>
    <r>
      <rPr>
        <vertAlign val="subscript"/>
        <sz val="11"/>
        <color theme="1"/>
        <rFont val="Comic Sans MS"/>
        <family val="4"/>
      </rPr>
      <t>0</t>
    </r>
    <r>
      <rPr>
        <sz val="11"/>
        <color theme="1"/>
        <rFont val="Comic Sans MS"/>
        <family val="2"/>
      </rPr>
      <t xml:space="preserve"> for main - </t>
    </r>
  </si>
  <si>
    <t>(ASHRAE Duct Fitting Data Base;  SR5-13)</t>
  </si>
  <si>
    <t xml:space="preserve">Main loss - </t>
  </si>
  <si>
    <r>
      <t>C</t>
    </r>
    <r>
      <rPr>
        <vertAlign val="subscript"/>
        <sz val="11"/>
        <color theme="1"/>
        <rFont val="Comic Sans MS"/>
        <family val="4"/>
      </rPr>
      <t>0</t>
    </r>
    <r>
      <rPr>
        <sz val="11"/>
        <color theme="1"/>
        <rFont val="Comic Sans MS"/>
        <family val="2"/>
      </rPr>
      <t xml:space="preserve"> for branch - </t>
    </r>
  </si>
  <si>
    <t xml:space="preserve">Branch loss - </t>
  </si>
  <si>
    <t xml:space="preserve">Junction - flow through main - </t>
  </si>
  <si>
    <t>Level 8 to Level 7 take-off</t>
  </si>
  <si>
    <t>Level 7 to Level 6 take-off</t>
  </si>
  <si>
    <t>Level 6 to Level  4 take-off (Level 5 supply is taken off at level 6 then drops to level 5 outside the chase)</t>
  </si>
  <si>
    <t>Level 4 to Level  3 take-off</t>
  </si>
  <si>
    <t>Level 3 to Level  2 take-off</t>
  </si>
  <si>
    <t xml:space="preserve">Transition length - </t>
  </si>
  <si>
    <t>(ASHRAE Duct Fitting Data Base;  pyramidl transition, supply; SR4-2)</t>
  </si>
  <si>
    <t>Fitting interaction -elbows (See AMCA derived chart to the right)</t>
  </si>
  <si>
    <t>Assume fittings take up floor to floor height with no additional straight duct</t>
  </si>
  <si>
    <t>First offset, first 45° elbow -</t>
  </si>
  <si>
    <t xml:space="preserve">First offset - second 45° elbow - </t>
  </si>
  <si>
    <t xml:space="preserve">Transition - </t>
  </si>
  <si>
    <t>Second offset, first 45° elbow -</t>
  </si>
  <si>
    <t xml:space="preserve">Second offset - second 45° elbow - </t>
  </si>
  <si>
    <t>Level 2 to Level  1 take-off</t>
  </si>
  <si>
    <t>(ASHRAE Duct Fitting Data Base;  mitered elbow 1-1/2" vane spacing; CR3-9)</t>
  </si>
  <si>
    <t>Fitting interaction - elbows to FSD (See AMCA derived chart to the right)</t>
  </si>
  <si>
    <t xml:space="preserve">FSD loss - </t>
  </si>
  <si>
    <t xml:space="preserve">Mitered elbow loss - </t>
  </si>
  <si>
    <t>Level 1 to Basement</t>
  </si>
  <si>
    <t>Fitting interaction - elbows to branch (See AMCA derived chart to the right)</t>
  </si>
  <si>
    <t>Fitting interaction - elbows to elbow (See AMCA derived chart to the right)</t>
  </si>
  <si>
    <t>Floor Penetration to TU6-8-B (May serves TU 4, 5, 6, 7, 8, 9, and 10)</t>
  </si>
  <si>
    <t>Flow through main past branch tap for TU-4</t>
  </si>
  <si>
    <t>Flow through main past branch tap for TU-8, 9 and 10</t>
  </si>
  <si>
    <t>Fitting interaction - branch to elbow (See AMCA derived chart to the right)</t>
  </si>
  <si>
    <t xml:space="preserve">Modified loss - Main - </t>
  </si>
  <si>
    <t xml:space="preserve">Modified loss - Branch - </t>
  </si>
  <si>
    <t>Transition - Diffusser</t>
  </si>
  <si>
    <t>(ASHRAE Duct Fitting Data Base;  SR4-2)</t>
  </si>
  <si>
    <t>Transition - rectangular to round</t>
  </si>
  <si>
    <t xml:space="preserve">Duct diameter - out - </t>
  </si>
  <si>
    <t>in.w.c. per (velocity conversion)</t>
  </si>
  <si>
    <t>Straight duct (round)</t>
  </si>
  <si>
    <t xml:space="preserve">Duct diameter -  </t>
  </si>
  <si>
    <t>Flow through branch for TU-6 (round conical tee)</t>
  </si>
  <si>
    <t xml:space="preserve">Duct diameter - in -  </t>
  </si>
  <si>
    <t xml:space="preserve">Duct diameter - out -  </t>
  </si>
  <si>
    <t xml:space="preserve">Duct diameter - branch - </t>
  </si>
  <si>
    <t xml:space="preserve">Duct area - branch - </t>
  </si>
  <si>
    <t>(ASHRAE Duct Fitting Data Base;  SR5-10)</t>
  </si>
  <si>
    <t xml:space="preserve">Flow through main  past TU-4 branch - </t>
  </si>
  <si>
    <t xml:space="preserve">Flow through main past branch for TU-8, 9, and 10 - </t>
  </si>
  <si>
    <t xml:space="preserve">Trasition - </t>
  </si>
  <si>
    <t xml:space="preserve">Rectangular to round transition - </t>
  </si>
  <si>
    <t xml:space="preserve">Flow through branch - </t>
  </si>
  <si>
    <t>TU-6 Operating allowance</t>
  </si>
  <si>
    <t xml:space="preserve">Maximum operating loss - </t>
  </si>
  <si>
    <t>in.w.c. (from equipment schedule)</t>
  </si>
  <si>
    <t>TU-6 Low pressure duct system allowance</t>
  </si>
  <si>
    <t>Level 5 Return Path (assumes 50% of the air flow from all but the public spaces on the floor goes up each of two ducts)</t>
  </si>
  <si>
    <t>See analysis to the right for an assessment of the approximate total flow rate per floor</t>
  </si>
  <si>
    <t>Straight duct from L5  ceiling plenum to L6 transfer duct</t>
  </si>
  <si>
    <t>in.w.c. (ASHRAE Fitting Data Base says 0 to two decimal places)</t>
  </si>
  <si>
    <t>Flow into main from branch down to the 5th floor ceiling plenum</t>
  </si>
  <si>
    <t>Approximate floor area assessment above L9 for approximate flow assessment</t>
  </si>
  <si>
    <t>Main area E-W</t>
  </si>
  <si>
    <t>Main area N-S</t>
  </si>
  <si>
    <t>Main area sq.ft.</t>
  </si>
  <si>
    <t>West bump-out - E-W</t>
  </si>
  <si>
    <t>West bump-out - N-S</t>
  </si>
  <si>
    <t>West bump out sq.ft.</t>
  </si>
  <si>
    <t>South bump-out - E-W</t>
  </si>
  <si>
    <t>South bump-out - N-S</t>
  </si>
  <si>
    <t>South bump-out sq.ft.</t>
  </si>
  <si>
    <t>Total sq.ft.</t>
  </si>
  <si>
    <t>Based on the flow analysis in:</t>
  </si>
  <si>
    <t>Building Airflow Tabulation and MOA Calcs.xls</t>
  </si>
  <si>
    <t>: the building is served at about 1 cfm per square foot</t>
  </si>
  <si>
    <t xml:space="preserve">Approximate air flow per floor - </t>
  </si>
  <si>
    <t xml:space="preserve">MOA % (from analysis above) - </t>
  </si>
  <si>
    <t>will assume this much goes out the exhaust system</t>
  </si>
  <si>
    <t xml:space="preserve">Approximate return air flow per floor - </t>
  </si>
  <si>
    <t xml:space="preserve">Approximate Lobby area - </t>
  </si>
  <si>
    <t>sq.ft. (about twice the South bump-out number)</t>
  </si>
  <si>
    <t>(ASHRAE Duct Fitting Data Base;  ER5-3)</t>
  </si>
  <si>
    <t xml:space="preserve">Approximate lobby air flow - </t>
  </si>
  <si>
    <t xml:space="preserve">Approximate return air up shafts 2 and 4 - </t>
  </si>
  <si>
    <t>cfm (assumes lobby air flow goes up shafts 1 and 5)</t>
  </si>
  <si>
    <t xml:space="preserve">15° mitered offset loss </t>
  </si>
  <si>
    <t>Straight duct between offsets</t>
  </si>
  <si>
    <t>cfm (ignors air going out toilet exhaust; i.e. assumes all supply air goes back the return)</t>
  </si>
  <si>
    <t>Fitting interaction - offset to offset (See AMCA derived chart to the right)</t>
  </si>
  <si>
    <t>Straight duct (assumes no loss due to the branch tap near the outlet of this section due to low velocity and small flows)</t>
  </si>
  <si>
    <t>Fitting interaction - transition to FSD (See AMCA derived chart to the right)</t>
  </si>
  <si>
    <t xml:space="preserve">Straight duct from L5  ceiling plenum to L6 transfer duct - </t>
  </si>
  <si>
    <t xml:space="preserve">Branch tap - </t>
  </si>
  <si>
    <t xml:space="preserve">Mitered offset - </t>
  </si>
  <si>
    <t>Mechancial Shaft 2 Through the FSD at the top of the shaft</t>
  </si>
  <si>
    <t>Treats the shaft as a duct with the shaft dimensions and assumes half the flow for the each floor is carried by it</t>
  </si>
  <si>
    <t>Straight duct from L6 to L7</t>
  </si>
  <si>
    <t>Straight duct from L7 to L8</t>
  </si>
  <si>
    <t>Straight duct from L8 to L9</t>
  </si>
  <si>
    <t>Straight duct from L9 to L10</t>
  </si>
  <si>
    <t>Straight duct from L10 to L11</t>
  </si>
  <si>
    <t>Straight duct from L11 to L12</t>
  </si>
  <si>
    <t>Straight duct from L12 to L13</t>
  </si>
  <si>
    <t>Straight duct from L13 to L14</t>
  </si>
  <si>
    <t>Straight duct from L14 to L15</t>
  </si>
  <si>
    <t>Straight duct from L15 to L16</t>
  </si>
  <si>
    <t>Straight duct from L16 to L17</t>
  </si>
  <si>
    <t>Straight duct from L17 to L18</t>
  </si>
  <si>
    <t>Straight duct from L18 to L19</t>
  </si>
  <si>
    <t>Straight duct from L19 to L20A</t>
  </si>
  <si>
    <t>L6 - L7</t>
  </si>
  <si>
    <t>L7 - L8</t>
  </si>
  <si>
    <t>L8 - L9</t>
  </si>
  <si>
    <t>L9 - L10</t>
  </si>
  <si>
    <t>L10 - L11</t>
  </si>
  <si>
    <t>L11 - L12</t>
  </si>
  <si>
    <t>L12 - L13</t>
  </si>
  <si>
    <t>L13 - L14</t>
  </si>
  <si>
    <t>L14 - L15</t>
  </si>
  <si>
    <t>L15 - L16</t>
  </si>
  <si>
    <t>L16 -L17</t>
  </si>
  <si>
    <t>L17 - L18</t>
  </si>
  <si>
    <t>L18 - L19</t>
  </si>
  <si>
    <t xml:space="preserve">FDS - </t>
  </si>
  <si>
    <t>Entry Loss</t>
  </si>
  <si>
    <t>in.</t>
  </si>
  <si>
    <t xml:space="preserve">Extension past wall - </t>
  </si>
  <si>
    <t>(ASHRAE Duct Fitting Data Base;   Duct mounted in wall;  ER1-1)</t>
  </si>
  <si>
    <t>Obstruction</t>
  </si>
  <si>
    <t xml:space="preserve">Obstruction width/diameter - </t>
  </si>
  <si>
    <t xml:space="preserve">Obstruction distance from duct center line - </t>
  </si>
  <si>
    <t>in</t>
  </si>
  <si>
    <t>(ASHRAE Duct Fitting Data Base;  Parallel or Opposed Blade Airfoil Damper;  ER1-1)</t>
  </si>
  <si>
    <t>Exit Loss</t>
  </si>
  <si>
    <t xml:space="preserve">Exit angle - </t>
  </si>
  <si>
    <t>°</t>
  </si>
  <si>
    <t>(ASHRAE Duct Fitting Data Base;  Discharge flush with wall;  SR2-2)</t>
  </si>
  <si>
    <t xml:space="preserve">Obstruction - </t>
  </si>
  <si>
    <t xml:space="preserve">Elbow - </t>
  </si>
  <si>
    <t>Relief damper</t>
  </si>
  <si>
    <t>(ASHRAE Duct Fitting Data Base;  Duct mounted in wall;  ER1-1)</t>
  </si>
  <si>
    <t>Damper loss</t>
  </si>
  <si>
    <t xml:space="preserve">Damper - </t>
  </si>
  <si>
    <t>Relief Louver and Damper</t>
  </si>
  <si>
    <t>Barometric Damper</t>
  </si>
  <si>
    <t xml:space="preserve">Allowance - </t>
  </si>
  <si>
    <t>Louver</t>
  </si>
  <si>
    <t xml:space="preserve">Barometric Damper - </t>
  </si>
  <si>
    <t xml:space="preserve">Louver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</si>
</sst>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6" x14ac:knownFonts="1">
    <font>
      <sz val="11"/>
      <color theme="1"/>
      <name val="Comic Sans MS"/>
      <family val="2"/>
    </font>
    <font>
      <u/>
      <sz val="11"/>
      <color theme="10"/>
      <name val="Comic Sans MS"/>
      <family val="2"/>
    </font>
    <font>
      <b/>
      <sz val="11"/>
      <color theme="0"/>
      <name val="Comic Sans MS"/>
      <family val="4"/>
    </font>
    <font>
      <sz val="11"/>
      <color theme="0"/>
      <name val="Comic Sans MS"/>
      <family val="4"/>
    </font>
    <font>
      <i/>
      <sz val="11"/>
      <color theme="1"/>
      <name val="Comic Sans MS"/>
      <family val="4"/>
    </font>
    <font>
      <vertAlign val="subscript"/>
      <sz val="11"/>
      <color theme="1"/>
      <name val="Comic Sans MS"/>
      <family val="4"/>
    </font>
  </fonts>
  <fills count="7">
    <fill>
      <patternFill patternType="none"/>
    </fill>
    <fill>
      <patternFill patternType="gray125"/>
    </fill>
    <fill>
      <patternFill patternType="solid">
        <fgColor rgb="FFFF0000"/>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0">
    <xf numFmtId="0" fontId="0" fillId="0" borderId="0" xfId="0"/>
    <xf numFmtId="0" fontId="2" fillId="2" borderId="0" xfId="0" applyFont="1" applyFill="1"/>
    <xf numFmtId="0" fontId="3" fillId="2" borderId="0" xfId="0" applyFont="1" applyFill="1" applyAlignment="1">
      <alignment horizontal="right"/>
    </xf>
    <xf numFmtId="0" fontId="3" fillId="2" borderId="0" xfId="0" applyFont="1" applyFill="1"/>
    <xf numFmtId="0" fontId="4" fillId="0" borderId="0" xfId="0" applyFont="1" applyFill="1" applyAlignment="1">
      <alignment vertical="top"/>
    </xf>
    <xf numFmtId="0" fontId="0" fillId="0" borderId="0" xfId="0" applyFill="1" applyAlignment="1">
      <alignment horizontal="right" vertical="top"/>
    </xf>
    <xf numFmtId="0" fontId="0" fillId="0" borderId="0" xfId="0" applyFill="1" applyAlignment="1">
      <alignment vertical="top"/>
    </xf>
    <xf numFmtId="4" fontId="0" fillId="0" borderId="0" xfId="0" applyNumberFormat="1" applyFill="1" applyAlignment="1">
      <alignment horizontal="right" vertical="top"/>
    </xf>
    <xf numFmtId="0" fontId="4" fillId="3" borderId="0" xfId="0" applyFont="1" applyFill="1" applyAlignment="1">
      <alignment vertical="top"/>
    </xf>
    <xf numFmtId="0" fontId="0" fillId="3" borderId="0" xfId="0" applyFill="1" applyAlignment="1">
      <alignment horizontal="right" vertical="top"/>
    </xf>
    <xf numFmtId="0" fontId="0" fillId="3" borderId="0" xfId="0" applyFill="1" applyAlignment="1">
      <alignment vertical="top"/>
    </xf>
    <xf numFmtId="0" fontId="0" fillId="3" borderId="0" xfId="0" applyFill="1"/>
    <xf numFmtId="0" fontId="4" fillId="0" borderId="0" xfId="0" applyFont="1" applyFill="1" applyAlignment="1">
      <alignment horizontal="left" vertical="top" indent="2"/>
    </xf>
    <xf numFmtId="3" fontId="0" fillId="0" borderId="0" xfId="0" applyNumberFormat="1" applyFill="1" applyAlignment="1">
      <alignment horizontal="right" vertical="top"/>
    </xf>
    <xf numFmtId="4" fontId="0" fillId="4" borderId="0" xfId="0" applyNumberFormat="1" applyFill="1" applyAlignment="1">
      <alignment horizontal="right" vertical="top"/>
    </xf>
    <xf numFmtId="0" fontId="0" fillId="4" borderId="0" xfId="0" applyFill="1" applyAlignment="1">
      <alignment vertical="top"/>
    </xf>
    <xf numFmtId="0" fontId="0" fillId="0" borderId="0" xfId="0" applyAlignment="1">
      <alignment horizontal="right"/>
    </xf>
    <xf numFmtId="4" fontId="0" fillId="0" borderId="0" xfId="0" applyNumberFormat="1" applyAlignment="1">
      <alignment horizontal="right"/>
    </xf>
    <xf numFmtId="4" fontId="0" fillId="5" borderId="0" xfId="0" applyNumberFormat="1" applyFill="1" applyAlignment="1">
      <alignment horizontal="right" vertical="top"/>
    </xf>
    <xf numFmtId="0" fontId="0" fillId="5" borderId="0" xfId="0" applyFill="1" applyAlignment="1">
      <alignment vertical="top"/>
    </xf>
    <xf numFmtId="0" fontId="0" fillId="0" borderId="0" xfId="0" applyFont="1" applyFill="1" applyAlignment="1">
      <alignment horizontal="right" vertical="top"/>
    </xf>
    <xf numFmtId="0" fontId="0" fillId="0" borderId="0" xfId="0" applyFont="1" applyFill="1" applyAlignment="1">
      <alignment vertical="top"/>
    </xf>
    <xf numFmtId="0" fontId="4" fillId="0" borderId="0" xfId="0" applyFont="1" applyFill="1" applyAlignment="1">
      <alignment horizontal="left" vertical="top" indent="1"/>
    </xf>
    <xf numFmtId="4" fontId="0" fillId="5" borderId="0" xfId="0" applyNumberFormat="1" applyFill="1" applyAlignment="1">
      <alignment horizontal="right"/>
    </xf>
    <xf numFmtId="0" fontId="0" fillId="0" borderId="0" xfId="0" applyFill="1" applyAlignment="1">
      <alignment vertical="top" wrapText="1"/>
    </xf>
    <xf numFmtId="4" fontId="0" fillId="6" borderId="0" xfId="0" applyNumberFormat="1" applyFill="1" applyAlignment="1">
      <alignment horizontal="right" vertical="top"/>
    </xf>
    <xf numFmtId="0" fontId="0" fillId="6" borderId="0" xfId="0" applyFill="1" applyAlignment="1">
      <alignment vertical="top"/>
    </xf>
    <xf numFmtId="164" fontId="0" fillId="0" borderId="0" xfId="0" applyNumberFormat="1" applyFill="1" applyAlignment="1">
      <alignment horizontal="right" vertical="top"/>
    </xf>
    <xf numFmtId="165" fontId="0" fillId="4" borderId="0" xfId="0" applyNumberFormat="1" applyFill="1" applyAlignment="1">
      <alignment horizontal="right" vertical="top"/>
    </xf>
    <xf numFmtId="0" fontId="0" fillId="0" borderId="0" xfId="0" applyAlignment="1">
      <alignment horizontal="left"/>
    </xf>
    <xf numFmtId="0" fontId="0" fillId="0" borderId="0" xfId="0" applyAlignment="1">
      <alignment horizontal="left" indent="1"/>
    </xf>
    <xf numFmtId="3" fontId="0" fillId="0" borderId="0" xfId="0" applyNumberFormat="1"/>
    <xf numFmtId="0" fontId="1" fillId="0" borderId="0" xfId="1" applyAlignment="1" applyProtection="1"/>
    <xf numFmtId="0" fontId="0" fillId="0" borderId="0" xfId="0" applyFill="1" applyBorder="1"/>
    <xf numFmtId="0" fontId="0" fillId="0" borderId="0" xfId="0" applyFill="1" applyBorder="1" applyAlignment="1">
      <alignment horizontal="right"/>
    </xf>
    <xf numFmtId="9" fontId="0" fillId="0" borderId="0" xfId="0" applyNumberFormat="1"/>
    <xf numFmtId="165" fontId="0" fillId="0" borderId="0" xfId="0" applyNumberFormat="1" applyFill="1" applyAlignment="1">
      <alignment horizontal="right" vertical="top"/>
    </xf>
    <xf numFmtId="164" fontId="0" fillId="4" borderId="0" xfId="0" applyNumberFormat="1" applyFill="1" applyAlignment="1">
      <alignment horizontal="right" vertical="top"/>
    </xf>
    <xf numFmtId="164" fontId="0" fillId="0" borderId="0" xfId="0" applyNumberFormat="1" applyAlignment="1">
      <alignment horizontal="right"/>
    </xf>
    <xf numFmtId="164" fontId="0" fillId="5" borderId="0" xfId="0" applyNumberFormat="1" applyFill="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9889012208645"/>
          <c:y val="0.14681892332789653"/>
          <c:w val="0.54051054384017749"/>
          <c:h val="0.72756933115823819"/>
        </c:manualLayout>
      </c:layout>
      <c:scatterChart>
        <c:scatterStyle val="smoothMarker"/>
        <c:varyColors val="0"/>
        <c:ser>
          <c:idx val="1"/>
          <c:order val="0"/>
          <c:tx>
            <c:strRef>
              <c:f>'[1]Duct element system effect data'!$E$9</c:f>
              <c:strCache>
                <c:ptCount val="1"/>
                <c:pt idx="0">
                  <c:v>K = system effect multiplier for turning elements in series (elbows, offsets, etc.)</c:v>
                </c:pt>
              </c:strCache>
            </c:strRef>
          </c:tx>
          <c:spPr>
            <a:ln w="38100">
              <a:solidFill>
                <a:srgbClr val="008080"/>
              </a:solidFill>
              <a:prstDash val="solid"/>
            </a:ln>
          </c:spPr>
          <c:marker>
            <c:symbol val="none"/>
          </c:marker>
          <c:xVal>
            <c:numRef>
              <c:f>'[1]Duct element system effect data'!$A$10:$A$17</c:f>
              <c:numCache>
                <c:formatCode>General</c:formatCode>
                <c:ptCount val="8"/>
                <c:pt idx="0">
                  <c:v>0.5</c:v>
                </c:pt>
                <c:pt idx="1">
                  <c:v>1</c:v>
                </c:pt>
                <c:pt idx="2">
                  <c:v>2</c:v>
                </c:pt>
                <c:pt idx="3">
                  <c:v>3</c:v>
                </c:pt>
                <c:pt idx="4">
                  <c:v>4</c:v>
                </c:pt>
                <c:pt idx="5">
                  <c:v>5</c:v>
                </c:pt>
                <c:pt idx="6">
                  <c:v>7.5</c:v>
                </c:pt>
                <c:pt idx="7">
                  <c:v>10</c:v>
                </c:pt>
              </c:numCache>
            </c:numRef>
          </c:xVal>
          <c:yVal>
            <c:numRef>
              <c:f>'[1]Duct element system effect data'!$E$10:$E$17</c:f>
              <c:numCache>
                <c:formatCode>General</c:formatCode>
                <c:ptCount val="8"/>
                <c:pt idx="0">
                  <c:v>1</c:v>
                </c:pt>
                <c:pt idx="1">
                  <c:v>1.08</c:v>
                </c:pt>
                <c:pt idx="2">
                  <c:v>1.75</c:v>
                </c:pt>
                <c:pt idx="3">
                  <c:v>1.5</c:v>
                </c:pt>
                <c:pt idx="4">
                  <c:v>1.3</c:v>
                </c:pt>
                <c:pt idx="5">
                  <c:v>1.2</c:v>
                </c:pt>
                <c:pt idx="6">
                  <c:v>1.1000000000000001</c:v>
                </c:pt>
                <c:pt idx="7">
                  <c:v>1</c:v>
                </c:pt>
              </c:numCache>
            </c:numRef>
          </c:yVal>
          <c:smooth val="1"/>
          <c:extLst>
            <c:ext xmlns:c16="http://schemas.microsoft.com/office/drawing/2014/chart" uri="{C3380CC4-5D6E-409C-BE32-E72D297353CC}">
              <c16:uniqueId val="{00000000-CADD-4D38-84F4-CA84BA3C8F4A}"/>
            </c:ext>
          </c:extLst>
        </c:ser>
        <c:dLbls>
          <c:showLegendKey val="0"/>
          <c:showVal val="0"/>
          <c:showCatName val="0"/>
          <c:showSerName val="0"/>
          <c:showPercent val="0"/>
          <c:showBubbleSize val="0"/>
        </c:dLbls>
        <c:axId val="280834816"/>
        <c:axId val="280836736"/>
      </c:scatterChart>
      <c:valAx>
        <c:axId val="280834816"/>
        <c:scaling>
          <c:orientation val="minMax"/>
        </c:scaling>
        <c:delete val="0"/>
        <c:axPos val="b"/>
        <c:majorGridlines>
          <c:spPr>
            <a:ln w="3175">
              <a:solidFill>
                <a:srgbClr val="C0C0C0"/>
              </a:solidFill>
              <a:prstDash val="solid"/>
            </a:ln>
          </c:spPr>
        </c:majorGridlines>
        <c:title>
          <c:tx>
            <c:rich>
              <a:bodyPr/>
              <a:lstStyle/>
              <a:p>
                <a:pPr>
                  <a:defRPr sz="1425" b="0" i="0" u="none" strike="noStrike" baseline="0">
                    <a:solidFill>
                      <a:srgbClr val="000000"/>
                    </a:solidFill>
                    <a:latin typeface="Arial"/>
                    <a:ea typeface="Arial"/>
                    <a:cs typeface="Arial"/>
                  </a:defRPr>
                </a:pPr>
                <a:r>
                  <a:rPr lang="en-US"/>
                  <a:t>Centerline Distance Between Elements in Feet</a:t>
                </a:r>
              </a:p>
            </c:rich>
          </c:tx>
          <c:layout>
            <c:manualLayout>
              <c:xMode val="edge"/>
              <c:yMode val="edge"/>
              <c:x val="0.14983351831298558"/>
              <c:y val="0.9396411092985365"/>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250" b="0" i="0" u="none" strike="noStrike" baseline="0">
                <a:solidFill>
                  <a:srgbClr val="000000"/>
                </a:solidFill>
                <a:latin typeface="Arial"/>
                <a:ea typeface="Arial"/>
                <a:cs typeface="Arial"/>
              </a:defRPr>
            </a:pPr>
            <a:endParaRPr lang="en-US"/>
          </a:p>
        </c:txPr>
        <c:crossAx val="280836736"/>
        <c:crosses val="autoZero"/>
        <c:crossBetween val="midCat"/>
        <c:majorUnit val="1"/>
        <c:minorUnit val="0.5"/>
      </c:valAx>
      <c:valAx>
        <c:axId val="280836736"/>
        <c:scaling>
          <c:orientation val="minMax"/>
        </c:scaling>
        <c:delete val="0"/>
        <c:axPos val="l"/>
        <c:majorGridlines>
          <c:spPr>
            <a:ln w="3175">
              <a:solidFill>
                <a:srgbClr val="C0C0C0"/>
              </a:solidFill>
              <a:prstDash val="solid"/>
            </a:ln>
          </c:spPr>
        </c:majorGridlines>
        <c:title>
          <c:tx>
            <c:rich>
              <a:bodyPr/>
              <a:lstStyle/>
              <a:p>
                <a:pPr>
                  <a:defRPr sz="1425" b="0" i="0" u="none" strike="noStrike" baseline="0">
                    <a:solidFill>
                      <a:srgbClr val="000000"/>
                    </a:solidFill>
                    <a:latin typeface="Arial"/>
                    <a:ea typeface="Arial"/>
                    <a:cs typeface="Arial"/>
                  </a:defRPr>
                </a:pPr>
                <a:r>
                  <a:rPr lang="en-US"/>
                  <a:t>Multiplier</a:t>
                </a:r>
              </a:p>
            </c:rich>
          </c:tx>
          <c:layout>
            <c:manualLayout>
              <c:xMode val="edge"/>
              <c:yMode val="edge"/>
              <c:x val="5.5493895671476137E-3"/>
              <c:y val="0.4453507340946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50" b="0" i="0" u="none" strike="noStrike" baseline="0">
                <a:solidFill>
                  <a:srgbClr val="000000"/>
                </a:solidFill>
                <a:latin typeface="Arial"/>
                <a:ea typeface="Arial"/>
                <a:cs typeface="Arial"/>
              </a:defRPr>
            </a:pPr>
            <a:endParaRPr lang="en-US"/>
          </a:p>
        </c:txPr>
        <c:crossAx val="280834816"/>
        <c:crosses val="autoZero"/>
        <c:crossBetween val="midCat"/>
      </c:valAx>
      <c:spPr>
        <a:noFill/>
        <a:ln w="25400">
          <a:noFill/>
        </a:ln>
      </c:spPr>
    </c:plotArea>
    <c:legend>
      <c:legendPos val="r"/>
      <c:layout>
        <c:manualLayout>
          <c:xMode val="edge"/>
          <c:yMode val="edge"/>
          <c:x val="0.65815760266371415"/>
          <c:y val="0.16313213703099524"/>
          <c:w val="0.3285238623751417"/>
          <c:h val="0.24469820554649471"/>
        </c:manualLayout>
      </c:layout>
      <c:overlay val="0"/>
      <c:spPr>
        <a:noFill/>
        <a:ln w="25400">
          <a:noFill/>
        </a:ln>
      </c:spPr>
      <c:txPr>
        <a:bodyPr/>
        <a:lstStyle/>
        <a:p>
          <a:pPr>
            <a:defRPr sz="115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a:noFill/>
    </a:ln>
  </c:spPr>
  <c:txPr>
    <a:bodyPr/>
    <a:lstStyle/>
    <a:p>
      <a:pPr>
        <a:defRPr sz="1250" b="0" i="0" u="none" strike="noStrike" baseline="0">
          <a:solidFill>
            <a:srgbClr val="000000"/>
          </a:solidFill>
          <a:latin typeface="Arial"/>
          <a:ea typeface="Arial"/>
          <a:cs typeface="Arial"/>
        </a:defRPr>
      </a:pPr>
      <a:endParaRPr lang="en-US"/>
    </a:p>
  </c:txPr>
  <c:printSettings>
    <c:headerFooter/>
    <c:pageMargins b="0.750000000000003" l="0.70000000000000062" r="0.70000000000000062" t="0.75000000000000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58</xdr:row>
      <xdr:rowOff>0</xdr:rowOff>
    </xdr:from>
    <xdr:to>
      <xdr:col>6</xdr:col>
      <xdr:colOff>3495675</xdr:colOff>
      <xdr:row>84</xdr:row>
      <xdr:rowOff>116960</xdr:rowOff>
    </xdr:to>
    <xdr:pic>
      <xdr:nvPicPr>
        <xdr:cNvPr id="2" name="Picture 2">
          <a:extLst>
            <a:ext uri="{FF2B5EF4-FFF2-40B4-BE49-F238E27FC236}">
              <a16:creationId xmlns:a16="http://schemas.microsoft.com/office/drawing/2014/main" id="{4959452C-A6E3-4F27-B34F-E77CBEA663DE}"/>
            </a:ext>
          </a:extLst>
        </xdr:cNvPr>
        <xdr:cNvPicPr>
          <a:picLocks noChangeAspect="1" noChangeArrowheads="1"/>
        </xdr:cNvPicPr>
      </xdr:nvPicPr>
      <xdr:blipFill>
        <a:blip xmlns:r="http://schemas.openxmlformats.org/officeDocument/2006/relationships" r:embed="rId1" cstate="print"/>
        <a:srcRect l="13084" t="14008" r="11526" b="8171"/>
        <a:stretch>
          <a:fillRect/>
        </a:stretch>
      </xdr:blipFill>
      <xdr:spPr bwMode="auto">
        <a:xfrm>
          <a:off x="11704320" y="12595860"/>
          <a:ext cx="6917055" cy="5763380"/>
        </a:xfrm>
        <a:prstGeom prst="rect">
          <a:avLst/>
        </a:prstGeom>
        <a:noFill/>
        <a:ln w="1">
          <a:noFill/>
          <a:miter lim="800000"/>
          <a:headEnd/>
          <a:tailEnd type="none" w="med" len="med"/>
        </a:ln>
        <a:effectLst/>
      </xdr:spPr>
    </xdr:pic>
    <xdr:clientData/>
  </xdr:twoCellAnchor>
  <xdr:twoCellAnchor>
    <xdr:from>
      <xdr:col>6</xdr:col>
      <xdr:colOff>469900</xdr:colOff>
      <xdr:row>60</xdr:row>
      <xdr:rowOff>38100</xdr:rowOff>
    </xdr:from>
    <xdr:to>
      <xdr:col>6</xdr:col>
      <xdr:colOff>469900</xdr:colOff>
      <xdr:row>82</xdr:row>
      <xdr:rowOff>190500</xdr:rowOff>
    </xdr:to>
    <xdr:cxnSp macro="">
      <xdr:nvCxnSpPr>
        <xdr:cNvPr id="3" name="Straight Connector 2">
          <a:extLst>
            <a:ext uri="{FF2B5EF4-FFF2-40B4-BE49-F238E27FC236}">
              <a16:creationId xmlns:a16="http://schemas.microsoft.com/office/drawing/2014/main" id="{E311E590-5782-4791-8A47-7823289D6124}"/>
            </a:ext>
          </a:extLst>
        </xdr:cNvPr>
        <xdr:cNvCxnSpPr/>
      </xdr:nvCxnSpPr>
      <xdr:spPr>
        <a:xfrm rot="5400000" flipH="1" flipV="1">
          <a:off x="13130530" y="15533370"/>
          <a:ext cx="4930140" cy="0"/>
        </a:xfrm>
        <a:prstGeom prst="line">
          <a:avLst/>
        </a:prstGeom>
        <a:ln w="1905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850900</xdr:colOff>
      <xdr:row>60</xdr:row>
      <xdr:rowOff>38100</xdr:rowOff>
    </xdr:from>
    <xdr:to>
      <xdr:col>6</xdr:col>
      <xdr:colOff>850900</xdr:colOff>
      <xdr:row>82</xdr:row>
      <xdr:rowOff>165100</xdr:rowOff>
    </xdr:to>
    <xdr:cxnSp macro="">
      <xdr:nvCxnSpPr>
        <xdr:cNvPr id="4" name="Straight Connector 3">
          <a:extLst>
            <a:ext uri="{FF2B5EF4-FFF2-40B4-BE49-F238E27FC236}">
              <a16:creationId xmlns:a16="http://schemas.microsoft.com/office/drawing/2014/main" id="{9454141D-B45B-4625-8F4B-E912C1149565}"/>
            </a:ext>
          </a:extLst>
        </xdr:cNvPr>
        <xdr:cNvCxnSpPr/>
      </xdr:nvCxnSpPr>
      <xdr:spPr>
        <a:xfrm rot="5400000" flipH="1" flipV="1">
          <a:off x="13524230" y="15520670"/>
          <a:ext cx="490474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463550</xdr:colOff>
      <xdr:row>77</xdr:row>
      <xdr:rowOff>158750</xdr:rowOff>
    </xdr:from>
    <xdr:to>
      <xdr:col>6</xdr:col>
      <xdr:colOff>3067050</xdr:colOff>
      <xdr:row>77</xdr:row>
      <xdr:rowOff>158750</xdr:rowOff>
    </xdr:to>
    <xdr:cxnSp macro="">
      <xdr:nvCxnSpPr>
        <xdr:cNvPr id="5" name="Straight Connector 4">
          <a:extLst>
            <a:ext uri="{FF2B5EF4-FFF2-40B4-BE49-F238E27FC236}">
              <a16:creationId xmlns:a16="http://schemas.microsoft.com/office/drawing/2014/main" id="{D7FD5323-0BF6-4CE9-B9B8-31F623292E28}"/>
            </a:ext>
          </a:extLst>
        </xdr:cNvPr>
        <xdr:cNvCxnSpPr/>
      </xdr:nvCxnSpPr>
      <xdr:spPr>
        <a:xfrm>
          <a:off x="12167870" y="16880840"/>
          <a:ext cx="602488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104</xdr:row>
      <xdr:rowOff>0</xdr:rowOff>
    </xdr:from>
    <xdr:to>
      <xdr:col>8</xdr:col>
      <xdr:colOff>0</xdr:colOff>
      <xdr:row>129</xdr:row>
      <xdr:rowOff>0</xdr:rowOff>
    </xdr:to>
    <xdr:graphicFrame macro="">
      <xdr:nvGraphicFramePr>
        <xdr:cNvPr id="6" name="Chart 5">
          <a:extLst>
            <a:ext uri="{FF2B5EF4-FFF2-40B4-BE49-F238E27FC236}">
              <a16:creationId xmlns:a16="http://schemas.microsoft.com/office/drawing/2014/main" id="{871E4761-D428-429F-A2A7-5CAD9CB117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0.67025</cdr:x>
      <cdr:y>0.45975</cdr:y>
    </cdr:from>
    <cdr:to>
      <cdr:x>1</cdr:x>
      <cdr:y>0.81875</cdr:y>
    </cdr:to>
    <cdr:sp macro="" textlink="">
      <cdr:nvSpPr>
        <cdr:cNvPr id="1025" name="Text Box 1"/>
        <cdr:cNvSpPr txBox="1">
          <a:spLocks xmlns:a="http://schemas.openxmlformats.org/drawingml/2006/main" noChangeArrowheads="1"/>
        </cdr:cNvSpPr>
      </cdr:nvSpPr>
      <cdr:spPr bwMode="auto">
        <a:xfrm xmlns:a="http://schemas.openxmlformats.org/drawingml/2006/main">
          <a:off x="5829340" y="2684400"/>
          <a:ext cx="2829923" cy="20961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US" sz="1250" b="0" i="0" u="none" strike="noStrike" baseline="0">
              <a:solidFill>
                <a:srgbClr val="000000"/>
              </a:solidFill>
              <a:latin typeface="Arial"/>
              <a:cs typeface="Arial"/>
            </a:rPr>
            <a:t>Total pressure drop for the closely space fittings is calculated by adding the losses calculated for the fittings as individual elements and then multiplying them by the system effect multiplier shown in the curve.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972%20-%20PG&amp;E%20Design%20Briefs/10%20-%20Calculations/Duct%20Calc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space%202015-11-17/00%20-%20FDE/PEC%20-%20Fans,%20Ducts%20AHUs%20Design%20Performance%20Cx/2018-11-07/Seattle%20Courthouse%20Example%20-%20AHU%20Design%20vs%20Measured%20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er graph"/>
      <sheetName val="Filter costs data"/>
      <sheetName val="Adding filters"/>
      <sheetName val="Larger coil in casing"/>
      <sheetName val="Fan discharge conditions"/>
      <sheetName val="Tables"/>
      <sheetName val="Duct element graph"/>
      <sheetName val="Duct element system effect data"/>
      <sheetName val="Perimeter vs. Area graph"/>
      <sheetName val="Perimeter v.s. area data"/>
      <sheetName val="Summary Table"/>
      <sheetName val="Dimension change in elbow - cfm"/>
      <sheetName val="Dimension change in elbow - (2)"/>
      <sheetName val="Expanding elbow"/>
      <sheetName val="Close Coupled Elbows"/>
      <sheetName val="offset"/>
    </sheetNames>
    <sheetDataSet>
      <sheetData sheetId="0" refreshError="1"/>
      <sheetData sheetId="1"/>
      <sheetData sheetId="2"/>
      <sheetData sheetId="3"/>
      <sheetData sheetId="4"/>
      <sheetData sheetId="5"/>
      <sheetData sheetId="6" refreshError="1"/>
      <sheetData sheetId="7">
        <row r="9">
          <cell r="E9" t="str">
            <v>K = system effect multiplier for turning elements in series (elbows, offsets, etc.)</v>
          </cell>
        </row>
        <row r="10">
          <cell r="A10">
            <v>0.5</v>
          </cell>
          <cell r="E10">
            <v>1</v>
          </cell>
        </row>
        <row r="11">
          <cell r="A11">
            <v>1</v>
          </cell>
          <cell r="E11">
            <v>1.08</v>
          </cell>
        </row>
        <row r="12">
          <cell r="A12">
            <v>2</v>
          </cell>
          <cell r="E12">
            <v>1.75</v>
          </cell>
        </row>
        <row r="13">
          <cell r="A13">
            <v>3</v>
          </cell>
          <cell r="E13">
            <v>1.5</v>
          </cell>
        </row>
        <row r="14">
          <cell r="A14">
            <v>4</v>
          </cell>
          <cell r="E14">
            <v>1.3</v>
          </cell>
        </row>
        <row r="15">
          <cell r="A15">
            <v>5</v>
          </cell>
          <cell r="E15">
            <v>1.2</v>
          </cell>
        </row>
        <row r="16">
          <cell r="A16">
            <v>7.5</v>
          </cell>
          <cell r="E16">
            <v>1.1000000000000001</v>
          </cell>
        </row>
        <row r="17">
          <cell r="A17">
            <v>10</v>
          </cell>
          <cell r="E17">
            <v>1</v>
          </cell>
        </row>
      </sheetData>
      <sheetData sheetId="8" refreshError="1"/>
      <sheetData sheetId="9"/>
      <sheetData sheetId="10"/>
      <sheetData sheetId="11" refreshError="1"/>
      <sheetData sheetId="12" refreshError="1"/>
      <sheetData sheetId="13"/>
      <sheetData sheetId="14" refreshError="1"/>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Info, Unit conversions"/>
      <sheetName val="Tab report info"/>
      <sheetName val="Fan Curves"/>
      <sheetName val="Pressure Gradient"/>
      <sheetName val="Pressure Gradient (2)"/>
      <sheetName val="Pressure Gradient (3)"/>
      <sheetName val="AHU8 Data - Design"/>
      <sheetName val="Design Static Calcs"/>
      <sheetName val="AHU8 Data - Design No Interact"/>
      <sheetName val="Design Static Calcs No Interact"/>
      <sheetName val="Fab Drawing Static Calcs"/>
      <sheetName val="Terminal Units"/>
      <sheetName val="AHU Diversity from TAB"/>
      <sheetName val="Floor Elevations"/>
      <sheetName val="Staltic losses to shaft"/>
      <sheetName val="Improved Static"/>
      <sheetName val="Elbow Savings"/>
      <sheetName val="Zone Level Schedule"/>
      <sheetName val="AHU 8 Summary"/>
      <sheetName val="Building Pressurization"/>
      <sheetName val="Projection to other AHUs"/>
      <sheetName val="Formatted Projections"/>
      <sheetName val="Sheet2"/>
    </sheetNames>
    <sheetDataSet>
      <sheetData sheetId="0">
        <row r="53">
          <cell r="D53">
            <v>2.1188800030000001</v>
          </cell>
        </row>
        <row r="54">
          <cell r="D54">
            <v>4.0146309210000002</v>
          </cell>
        </row>
        <row r="56">
          <cell r="D56">
            <v>3.9370078740000002E-2</v>
          </cell>
        </row>
      </sheetData>
      <sheetData sheetId="1"/>
      <sheetData sheetId="2"/>
      <sheetData sheetId="6">
        <row r="6">
          <cell r="C6">
            <v>46661.975426066005</v>
          </cell>
        </row>
        <row r="18">
          <cell r="C18">
            <v>31261.955564262003</v>
          </cell>
        </row>
      </sheetData>
      <sheetData sheetId="7"/>
      <sheetData sheetId="8"/>
      <sheetData sheetId="9"/>
      <sheetData sheetId="10"/>
      <sheetData sheetId="11">
        <row r="7">
          <cell r="C7">
            <v>422</v>
          </cell>
        </row>
        <row r="8">
          <cell r="C8">
            <v>55</v>
          </cell>
        </row>
        <row r="9">
          <cell r="C9">
            <v>252</v>
          </cell>
          <cell r="G9">
            <v>0.05</v>
          </cell>
        </row>
        <row r="10">
          <cell r="C10">
            <v>688</v>
          </cell>
        </row>
        <row r="11">
          <cell r="C11">
            <v>510</v>
          </cell>
        </row>
        <row r="12">
          <cell r="C12">
            <v>146</v>
          </cell>
        </row>
        <row r="13">
          <cell r="C13">
            <v>256</v>
          </cell>
        </row>
        <row r="123">
          <cell r="F123">
            <v>889.92960126000003</v>
          </cell>
        </row>
        <row r="124">
          <cell r="F124">
            <v>8931.0792126449996</v>
          </cell>
        </row>
        <row r="125">
          <cell r="F125">
            <v>6644.8076894080004</v>
          </cell>
        </row>
        <row r="126">
          <cell r="F126">
            <v>2252.3694431890003</v>
          </cell>
        </row>
        <row r="127">
          <cell r="F127">
            <v>7299.5416103350008</v>
          </cell>
        </row>
        <row r="128">
          <cell r="F128">
            <v>3385.9702447940008</v>
          </cell>
        </row>
        <row r="129">
          <cell r="F129">
            <v>3623.2848051300002</v>
          </cell>
        </row>
        <row r="130">
          <cell r="F130">
            <v>3659.3057651810004</v>
          </cell>
        </row>
        <row r="131">
          <cell r="F131">
            <v>3604.2148851030001</v>
          </cell>
        </row>
      </sheetData>
      <sheetData sheetId="12"/>
      <sheetData sheetId="13">
        <row r="4">
          <cell r="D4">
            <v>13.484251968449996</v>
          </cell>
        </row>
        <row r="5">
          <cell r="D5">
            <v>13.451443569499986</v>
          </cell>
        </row>
        <row r="7">
          <cell r="D7">
            <v>13.451443569500015</v>
          </cell>
          <cell r="E7">
            <v>53.838582676950011</v>
          </cell>
        </row>
        <row r="8">
          <cell r="E8">
            <v>67.290026246450026</v>
          </cell>
        </row>
        <row r="9">
          <cell r="D9">
            <v>13.451443569499986</v>
          </cell>
          <cell r="E9">
            <v>80.741469815950012</v>
          </cell>
        </row>
        <row r="10">
          <cell r="D10">
            <v>13.451443569499986</v>
          </cell>
          <cell r="E10">
            <v>94.192913385449998</v>
          </cell>
        </row>
        <row r="11">
          <cell r="E11">
            <v>114.53412073445</v>
          </cell>
        </row>
        <row r="12">
          <cell r="D12">
            <v>20.341207349000001</v>
          </cell>
          <cell r="E12">
            <v>134.87532808345</v>
          </cell>
        </row>
        <row r="13">
          <cell r="D13">
            <v>20.341207349000001</v>
          </cell>
          <cell r="E13">
            <v>155.21653543245</v>
          </cell>
        </row>
        <row r="14">
          <cell r="D14">
            <v>20.34120734900003</v>
          </cell>
        </row>
        <row r="15">
          <cell r="D15">
            <v>20.341207349000001</v>
          </cell>
        </row>
        <row r="16">
          <cell r="D16">
            <v>20.341207349000001</v>
          </cell>
        </row>
        <row r="17">
          <cell r="D17">
            <v>20.341207349000001</v>
          </cell>
        </row>
        <row r="18">
          <cell r="D18">
            <v>20.341207349000001</v>
          </cell>
        </row>
        <row r="19">
          <cell r="D19">
            <v>20.341207349000001</v>
          </cell>
        </row>
        <row r="20">
          <cell r="D20">
            <v>20.341207349000001</v>
          </cell>
        </row>
        <row r="21">
          <cell r="D21">
            <v>20.341207349000001</v>
          </cell>
        </row>
        <row r="22">
          <cell r="D22">
            <v>20.341207349000001</v>
          </cell>
        </row>
        <row r="23">
          <cell r="D23">
            <v>13.451443569500043</v>
          </cell>
          <cell r="E23">
            <v>351.73884514295008</v>
          </cell>
        </row>
        <row r="24">
          <cell r="D24">
            <v>11.482939632499949</v>
          </cell>
        </row>
        <row r="25">
          <cell r="D25">
            <v>14.730971128549982</v>
          </cell>
        </row>
      </sheetData>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omIT/Project%20Data/Seattle_FedCourt/HVAC%20Study/Calculations/Building%20Airflow%20Tabulation%20and%20MOA%20Calcs.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C3697-0285-42FD-8DC7-DA1D155786C1}">
  <sheetPr>
    <pageSetUpPr fitToPage="1"/>
  </sheetPr>
  <dimension ref="A1:N1381"/>
  <sheetViews>
    <sheetView tabSelected="1" zoomScale="75" zoomScaleNormal="75" workbookViewId="0">
      <selection activeCell="J44" sqref="J44"/>
    </sheetView>
  </sheetViews>
  <sheetFormatPr defaultRowHeight="17.100000000000001" x14ac:dyDescent="0.8"/>
  <cols>
    <col min="1" max="1" width="50.78125" customWidth="1"/>
    <col min="2" max="2" width="9.34765625" style="16" bestFit="1" customWidth="1"/>
    <col min="3" max="3" width="67.6484375" bestFit="1" customWidth="1"/>
    <col min="4" max="4" width="5.78125" customWidth="1"/>
    <col min="5" max="5" width="30.34765625" bestFit="1" customWidth="1"/>
    <col min="7" max="7" width="64.34765625" bestFit="1" customWidth="1"/>
  </cols>
  <sheetData>
    <row r="1" spans="1:14" s="3" customFormat="1" x14ac:dyDescent="0.8">
      <c r="A1" s="1" t="s">
        <v>0</v>
      </c>
      <c r="B1" s="2"/>
    </row>
    <row r="2" spans="1:14" x14ac:dyDescent="0.8">
      <c r="A2" s="4" t="s">
        <v>1</v>
      </c>
      <c r="B2" s="5"/>
      <c r="C2" s="6"/>
      <c r="D2" s="6"/>
      <c r="E2" s="6"/>
      <c r="F2" s="6"/>
      <c r="G2" s="6"/>
      <c r="H2" s="6"/>
      <c r="I2" s="6"/>
      <c r="J2" s="6"/>
      <c r="K2" s="6"/>
      <c r="L2" s="6"/>
      <c r="M2" s="6"/>
      <c r="N2" s="6"/>
    </row>
    <row r="3" spans="1:14" x14ac:dyDescent="0.8">
      <c r="A3" s="5" t="s">
        <v>2</v>
      </c>
      <c r="B3" s="7">
        <v>0.05</v>
      </c>
      <c r="C3" s="6" t="s">
        <v>3</v>
      </c>
      <c r="D3" s="6"/>
      <c r="E3" s="6"/>
      <c r="F3" s="6"/>
      <c r="G3" s="6"/>
      <c r="H3" s="6"/>
      <c r="I3" s="6"/>
      <c r="J3" s="6"/>
      <c r="K3" s="6"/>
      <c r="L3" s="6"/>
      <c r="M3" s="6"/>
      <c r="N3" s="6"/>
    </row>
    <row r="4" spans="1:14" s="11" customFormat="1" x14ac:dyDescent="0.8">
      <c r="A4" s="8" t="s">
        <v>4</v>
      </c>
      <c r="B4" s="9"/>
      <c r="C4" s="10"/>
      <c r="D4" s="10"/>
      <c r="E4" s="10"/>
      <c r="F4" s="10"/>
      <c r="G4" s="10"/>
      <c r="H4" s="10"/>
      <c r="I4" s="10"/>
      <c r="J4" s="10"/>
      <c r="K4" s="10"/>
      <c r="L4" s="10"/>
      <c r="M4" s="10"/>
      <c r="N4" s="10"/>
    </row>
    <row r="5" spans="1:14" x14ac:dyDescent="0.8">
      <c r="A5" s="12" t="s">
        <v>5</v>
      </c>
      <c r="B5" s="13"/>
      <c r="C5" s="6"/>
      <c r="D5" s="6"/>
      <c r="E5" s="6"/>
      <c r="F5" s="6"/>
      <c r="G5" s="6"/>
      <c r="H5" s="6"/>
      <c r="I5" s="6"/>
      <c r="J5" s="6"/>
      <c r="K5" s="6"/>
      <c r="L5" s="6"/>
      <c r="M5" s="6"/>
      <c r="N5" s="6"/>
    </row>
    <row r="6" spans="1:14" x14ac:dyDescent="0.8">
      <c r="A6" s="5" t="s">
        <v>6</v>
      </c>
      <c r="B6" s="13">
        <f>5000*'[2]Design Info, Unit conversions'!D56</f>
        <v>196.85039370000001</v>
      </c>
      <c r="C6" s="6" t="s">
        <v>7</v>
      </c>
      <c r="D6" s="6"/>
      <c r="E6" s="6"/>
      <c r="F6" s="6"/>
      <c r="G6" s="6"/>
      <c r="H6" s="6"/>
      <c r="I6" s="6"/>
      <c r="J6" s="6"/>
      <c r="K6" s="6"/>
      <c r="L6" s="6"/>
      <c r="M6" s="6"/>
      <c r="N6" s="6"/>
    </row>
    <row r="7" spans="1:14" x14ac:dyDescent="0.8">
      <c r="A7" s="5" t="s">
        <v>8</v>
      </c>
      <c r="B7" s="13">
        <f>2600*'[2]Design Info, Unit conversions'!D56</f>
        <v>102.36220472400001</v>
      </c>
      <c r="C7" s="6" t="s">
        <v>7</v>
      </c>
      <c r="D7" s="6"/>
      <c r="E7" s="6"/>
      <c r="F7" s="6"/>
      <c r="G7" s="6"/>
      <c r="H7" s="6"/>
      <c r="I7" s="6"/>
      <c r="J7" s="6"/>
      <c r="K7" s="6"/>
      <c r="L7" s="6"/>
      <c r="M7" s="6"/>
      <c r="N7" s="6"/>
    </row>
    <row r="8" spans="1:14" x14ac:dyDescent="0.8">
      <c r="A8" s="5" t="s">
        <v>9</v>
      </c>
      <c r="B8" s="13">
        <f>(B7*B6)/144</f>
        <v>139.93083541610696</v>
      </c>
      <c r="C8" s="6" t="s">
        <v>10</v>
      </c>
      <c r="D8" s="6"/>
      <c r="E8" s="6"/>
      <c r="F8" s="6"/>
      <c r="G8" s="6"/>
      <c r="H8" s="6"/>
      <c r="I8" s="6"/>
      <c r="J8" s="6"/>
      <c r="K8" s="6"/>
      <c r="L8" s="6"/>
      <c r="M8" s="6"/>
      <c r="N8" s="6"/>
    </row>
    <row r="9" spans="1:14" x14ac:dyDescent="0.8">
      <c r="A9" s="5" t="s">
        <v>11</v>
      </c>
      <c r="B9" s="13">
        <f>'[2]AHU8 Data - Design'!C6+((22041+3783)*'[2]Design Info, Unit conversions'!D53)</f>
        <v>101379.93262353801</v>
      </c>
      <c r="C9" s="6" t="s">
        <v>12</v>
      </c>
      <c r="D9" s="6"/>
      <c r="E9" s="6"/>
      <c r="F9" s="6"/>
      <c r="G9" s="6"/>
      <c r="H9" s="6"/>
      <c r="I9" s="6"/>
      <c r="J9" s="6"/>
      <c r="K9" s="6"/>
      <c r="L9" s="6"/>
      <c r="M9" s="6"/>
      <c r="N9" s="6"/>
    </row>
    <row r="10" spans="1:14" x14ac:dyDescent="0.8">
      <c r="A10" s="5" t="s">
        <v>13</v>
      </c>
      <c r="B10" s="13">
        <f>B9/B8</f>
        <v>724.5003027536311</v>
      </c>
      <c r="C10" s="6" t="s">
        <v>14</v>
      </c>
      <c r="D10" s="6"/>
      <c r="E10" s="6"/>
      <c r="F10" s="6"/>
      <c r="G10" s="6"/>
      <c r="H10" s="6"/>
      <c r="I10" s="6"/>
      <c r="J10" s="6"/>
      <c r="K10" s="6"/>
      <c r="L10" s="6"/>
      <c r="M10" s="6"/>
      <c r="N10" s="6"/>
    </row>
    <row r="11" spans="1:14" x14ac:dyDescent="0.8">
      <c r="A11" s="5" t="s">
        <v>15</v>
      </c>
      <c r="B11" s="7">
        <f>(B10/4005)^2</f>
        <v>3.2724430834122964E-2</v>
      </c>
      <c r="C11" s="6" t="s">
        <v>16</v>
      </c>
      <c r="D11" s="6"/>
      <c r="E11" s="6"/>
      <c r="F11" s="6"/>
      <c r="G11" s="6"/>
      <c r="H11" s="6"/>
      <c r="I11" s="6"/>
      <c r="J11" s="6"/>
      <c r="K11" s="6"/>
      <c r="L11" s="6"/>
      <c r="M11" s="6"/>
      <c r="N11" s="6"/>
    </row>
    <row r="12" spans="1:14" x14ac:dyDescent="0.8">
      <c r="A12" s="5" t="s">
        <v>17</v>
      </c>
      <c r="B12" s="7">
        <v>0.5</v>
      </c>
      <c r="C12" s="6" t="s">
        <v>18</v>
      </c>
      <c r="D12" s="6"/>
      <c r="E12" s="6"/>
      <c r="F12" s="6"/>
      <c r="G12" s="6"/>
      <c r="H12" s="6"/>
      <c r="I12" s="6"/>
      <c r="J12" s="6"/>
      <c r="K12" s="6"/>
      <c r="L12" s="6"/>
      <c r="M12" s="6"/>
      <c r="N12" s="6"/>
    </row>
    <row r="13" spans="1:14" x14ac:dyDescent="0.8">
      <c r="A13" s="5" t="s">
        <v>19</v>
      </c>
      <c r="B13" s="14">
        <f>B12*B11</f>
        <v>1.6362215417061482E-2</v>
      </c>
      <c r="C13" s="15" t="s">
        <v>16</v>
      </c>
      <c r="D13" s="6"/>
      <c r="E13" s="6"/>
      <c r="F13" s="6"/>
      <c r="G13" s="6"/>
      <c r="H13" s="6"/>
      <c r="I13" s="6"/>
      <c r="J13" s="6"/>
      <c r="K13" s="6"/>
      <c r="L13" s="6"/>
      <c r="M13" s="6"/>
      <c r="N13" s="6"/>
    </row>
    <row r="14" spans="1:14" x14ac:dyDescent="0.8">
      <c r="A14" s="12" t="s">
        <v>20</v>
      </c>
      <c r="B14" s="13"/>
      <c r="C14" s="6"/>
      <c r="D14" s="6"/>
      <c r="E14" s="6"/>
      <c r="F14" s="6"/>
      <c r="G14" s="6"/>
      <c r="H14" s="6"/>
      <c r="I14" s="6"/>
      <c r="J14" s="6"/>
      <c r="K14" s="6"/>
      <c r="L14" s="6"/>
      <c r="M14" s="6"/>
      <c r="N14" s="6"/>
    </row>
    <row r="15" spans="1:14" x14ac:dyDescent="0.8">
      <c r="A15" s="5" t="s">
        <v>21</v>
      </c>
      <c r="B15" s="13">
        <f>B9</f>
        <v>101379.93262353801</v>
      </c>
      <c r="C15" s="6"/>
      <c r="D15" s="6"/>
      <c r="E15" s="6"/>
      <c r="F15" s="6"/>
      <c r="G15" s="6"/>
      <c r="H15" s="6"/>
      <c r="I15" s="6"/>
      <c r="J15" s="6"/>
      <c r="K15" s="6"/>
      <c r="L15" s="6"/>
      <c r="M15" s="6"/>
      <c r="N15" s="6"/>
    </row>
    <row r="16" spans="1:14" x14ac:dyDescent="0.8">
      <c r="A16" s="5" t="s">
        <v>13</v>
      </c>
      <c r="B16" s="13">
        <f>B10</f>
        <v>724.5003027536311</v>
      </c>
      <c r="C16" s="6" t="s">
        <v>14</v>
      </c>
      <c r="D16" s="6"/>
      <c r="E16" s="6"/>
      <c r="F16" s="6"/>
      <c r="G16" s="6"/>
      <c r="H16" s="6"/>
      <c r="I16" s="6"/>
      <c r="J16" s="6"/>
      <c r="K16" s="6"/>
      <c r="L16" s="6"/>
      <c r="M16" s="6"/>
      <c r="N16" s="6"/>
    </row>
    <row r="17" spans="1:14" x14ac:dyDescent="0.8">
      <c r="A17" s="5" t="s">
        <v>22</v>
      </c>
      <c r="B17" s="7">
        <f>((((148.6-138.2)*1000)+11900)*'[2]Design Info, Unit conversions'!D56)/12</f>
        <v>73.162729658500027</v>
      </c>
      <c r="C17" s="6" t="s">
        <v>23</v>
      </c>
      <c r="D17" s="6"/>
      <c r="E17" s="6"/>
      <c r="F17" s="6"/>
      <c r="G17" s="6"/>
      <c r="H17" s="6"/>
      <c r="I17" s="6"/>
      <c r="J17" s="6"/>
      <c r="K17" s="6"/>
      <c r="L17" s="6"/>
      <c r="M17" s="6"/>
      <c r="N17" s="6"/>
    </row>
    <row r="18" spans="1:14" x14ac:dyDescent="0.8">
      <c r="A18" s="5" t="s">
        <v>24</v>
      </c>
      <c r="B18" s="13">
        <f>(1.3*((B6*B7)^0.625))/((B6+B7)^0.25)</f>
        <v>153.15135120748016</v>
      </c>
      <c r="C18" s="6" t="s">
        <v>25</v>
      </c>
    </row>
    <row r="19" spans="1:14" x14ac:dyDescent="0.8">
      <c r="A19" s="5" t="s">
        <v>26</v>
      </c>
      <c r="B19" s="7">
        <v>0.01</v>
      </c>
      <c r="C19" s="6" t="s">
        <v>27</v>
      </c>
    </row>
    <row r="20" spans="1:14" x14ac:dyDescent="0.8">
      <c r="A20" s="5" t="s">
        <v>28</v>
      </c>
      <c r="B20" s="14">
        <f>(B17/100)*B19</f>
        <v>7.3162729658500028E-3</v>
      </c>
      <c r="C20" s="15" t="s">
        <v>16</v>
      </c>
    </row>
    <row r="21" spans="1:14" x14ac:dyDescent="0.8">
      <c r="A21" s="12" t="s">
        <v>29</v>
      </c>
    </row>
    <row r="22" spans="1:14" x14ac:dyDescent="0.8">
      <c r="A22" s="5" t="s">
        <v>19</v>
      </c>
      <c r="B22" s="17">
        <f>B13</f>
        <v>1.6362215417061482E-2</v>
      </c>
      <c r="C22" s="6" t="s">
        <v>16</v>
      </c>
    </row>
    <row r="23" spans="1:14" x14ac:dyDescent="0.8">
      <c r="A23" s="5" t="s">
        <v>30</v>
      </c>
      <c r="B23" s="17">
        <f>B20</f>
        <v>7.3162729658500028E-3</v>
      </c>
      <c r="C23" s="6" t="s">
        <v>16</v>
      </c>
    </row>
    <row r="24" spans="1:14" x14ac:dyDescent="0.8">
      <c r="A24" s="5" t="s">
        <v>31</v>
      </c>
      <c r="B24" s="18">
        <f>SUM(B22:B23)</f>
        <v>2.3678488382911485E-2</v>
      </c>
      <c r="C24" s="19" t="s">
        <v>16</v>
      </c>
    </row>
    <row r="25" spans="1:14" s="11" customFormat="1" x14ac:dyDescent="0.8">
      <c r="A25" s="8" t="s">
        <v>32</v>
      </c>
      <c r="B25" s="9"/>
      <c r="C25" s="10"/>
      <c r="D25" s="10"/>
      <c r="E25" s="10"/>
      <c r="F25" s="10"/>
      <c r="G25" s="10"/>
      <c r="H25" s="10"/>
      <c r="I25" s="10"/>
      <c r="J25" s="10"/>
      <c r="K25" s="10"/>
      <c r="L25" s="10"/>
      <c r="M25" s="10"/>
      <c r="N25" s="10"/>
    </row>
    <row r="26" spans="1:14" x14ac:dyDescent="0.8">
      <c r="A26" s="5" t="s">
        <v>6</v>
      </c>
      <c r="B26" s="13">
        <f>1200*'[2]Design Info, Unit conversions'!D56</f>
        <v>47.244094488000002</v>
      </c>
      <c r="C26" s="6" t="s">
        <v>7</v>
      </c>
      <c r="D26" s="6"/>
      <c r="E26" s="6"/>
      <c r="F26" s="6"/>
      <c r="G26" s="6"/>
      <c r="H26" s="6"/>
      <c r="I26" s="6"/>
      <c r="J26" s="6"/>
      <c r="K26" s="6"/>
      <c r="L26" s="6"/>
      <c r="M26" s="6"/>
      <c r="N26" s="6"/>
    </row>
    <row r="27" spans="1:14" x14ac:dyDescent="0.8">
      <c r="A27" s="5" t="s">
        <v>8</v>
      </c>
      <c r="B27" s="13">
        <f>2600*'[2]Design Info, Unit conversions'!D56</f>
        <v>102.36220472400001</v>
      </c>
      <c r="C27" s="6" t="s">
        <v>7</v>
      </c>
      <c r="D27" s="6"/>
      <c r="E27" s="6"/>
      <c r="F27" s="6"/>
      <c r="G27" s="6"/>
      <c r="H27" s="6"/>
      <c r="I27" s="6"/>
      <c r="J27" s="6"/>
      <c r="K27" s="6"/>
      <c r="L27" s="6"/>
      <c r="M27" s="6"/>
      <c r="N27" s="6"/>
    </row>
    <row r="28" spans="1:14" x14ac:dyDescent="0.8">
      <c r="A28" s="5" t="s">
        <v>9</v>
      </c>
      <c r="B28" s="13">
        <f>(B27*B26)/144</f>
        <v>33.583400499865668</v>
      </c>
      <c r="C28" s="6" t="s">
        <v>10</v>
      </c>
      <c r="D28" s="6"/>
      <c r="E28" s="6"/>
      <c r="F28" s="6"/>
      <c r="G28" s="6"/>
      <c r="H28" s="6"/>
      <c r="I28" s="6"/>
      <c r="J28" s="6"/>
      <c r="K28" s="6"/>
      <c r="L28" s="6"/>
      <c r="M28" s="6"/>
      <c r="N28" s="6"/>
    </row>
    <row r="29" spans="1:14" x14ac:dyDescent="0.8">
      <c r="A29" s="5" t="s">
        <v>21</v>
      </c>
      <c r="B29" s="13">
        <f>B63</f>
        <v>46661.975426066005</v>
      </c>
      <c r="C29" s="6" t="s">
        <v>33</v>
      </c>
      <c r="D29" s="6"/>
      <c r="E29" s="6"/>
      <c r="F29" s="6"/>
      <c r="G29" s="6"/>
      <c r="H29" s="6"/>
      <c r="I29" s="6"/>
      <c r="J29" s="6"/>
      <c r="K29" s="6"/>
      <c r="L29" s="6"/>
      <c r="M29" s="6"/>
      <c r="N29" s="6"/>
    </row>
    <row r="30" spans="1:14" x14ac:dyDescent="0.8">
      <c r="A30" s="5" t="s">
        <v>13</v>
      </c>
      <c r="B30" s="13">
        <f>B29/B28</f>
        <v>1389.4356953594574</v>
      </c>
      <c r="C30" s="6" t="s">
        <v>14</v>
      </c>
      <c r="D30" s="6"/>
      <c r="E30" s="6"/>
      <c r="F30" s="6"/>
      <c r="G30" s="6"/>
      <c r="H30" s="6"/>
      <c r="I30" s="6"/>
      <c r="J30" s="6"/>
      <c r="K30" s="6"/>
      <c r="L30" s="6"/>
      <c r="M30" s="6"/>
      <c r="N30" s="6"/>
    </row>
    <row r="31" spans="1:14" x14ac:dyDescent="0.8">
      <c r="A31" s="5" t="s">
        <v>15</v>
      </c>
      <c r="B31" s="7">
        <f>(B30/4005)^2</f>
        <v>0.12035714106050451</v>
      </c>
      <c r="C31" s="6" t="s">
        <v>16</v>
      </c>
      <c r="D31" s="6"/>
      <c r="E31" s="6"/>
      <c r="F31" s="6"/>
      <c r="G31" s="6"/>
      <c r="H31" s="6"/>
      <c r="I31" s="6"/>
      <c r="J31" s="6"/>
      <c r="K31" s="6"/>
      <c r="L31" s="6"/>
      <c r="M31" s="6"/>
      <c r="N31" s="6"/>
    </row>
    <row r="32" spans="1:14" x14ac:dyDescent="0.8">
      <c r="A32" s="5" t="s">
        <v>17</v>
      </c>
      <c r="B32" s="7">
        <v>0.5</v>
      </c>
      <c r="C32" s="6" t="s">
        <v>18</v>
      </c>
      <c r="D32" s="6"/>
      <c r="E32" s="6"/>
      <c r="F32" s="6"/>
      <c r="G32" s="6"/>
      <c r="H32" s="6"/>
      <c r="I32" s="6"/>
      <c r="J32" s="6"/>
      <c r="K32" s="6"/>
      <c r="L32" s="6"/>
      <c r="M32" s="6"/>
      <c r="N32" s="6"/>
    </row>
    <row r="33" spans="1:14" x14ac:dyDescent="0.8">
      <c r="A33" s="5" t="s">
        <v>19</v>
      </c>
      <c r="B33" s="14">
        <f>B32*B31</f>
        <v>6.0178570530252253E-2</v>
      </c>
      <c r="C33" s="15" t="s">
        <v>16</v>
      </c>
      <c r="D33" s="6"/>
      <c r="E33" s="6"/>
      <c r="F33" s="6"/>
      <c r="G33" s="6"/>
      <c r="H33" s="6"/>
      <c r="I33" s="6"/>
      <c r="J33" s="6"/>
      <c r="K33" s="6"/>
      <c r="L33" s="6"/>
      <c r="M33" s="6"/>
      <c r="N33" s="6"/>
    </row>
    <row r="34" spans="1:14" x14ac:dyDescent="0.8">
      <c r="A34" s="5" t="s">
        <v>22</v>
      </c>
      <c r="B34" s="7">
        <f>(12363.4*'[2]Design Info, Unit conversions'!D56)/12</f>
        <v>40.562335957842997</v>
      </c>
      <c r="C34" s="6" t="s">
        <v>23</v>
      </c>
      <c r="D34" s="6"/>
      <c r="E34" s="6"/>
      <c r="F34" s="6"/>
      <c r="G34" s="6"/>
      <c r="H34" s="6"/>
      <c r="I34" s="6"/>
      <c r="J34" s="6"/>
      <c r="K34" s="6"/>
      <c r="L34" s="6"/>
      <c r="M34" s="6"/>
      <c r="N34" s="6"/>
    </row>
    <row r="35" spans="1:14" x14ac:dyDescent="0.8">
      <c r="A35" s="5" t="s">
        <v>28</v>
      </c>
      <c r="B35" s="14">
        <v>0.01</v>
      </c>
      <c r="C35" s="15" t="s">
        <v>34</v>
      </c>
    </row>
    <row r="36" spans="1:14" x14ac:dyDescent="0.8">
      <c r="A36" s="5" t="s">
        <v>35</v>
      </c>
      <c r="B36" s="7">
        <v>0.97</v>
      </c>
      <c r="C36" s="6" t="s">
        <v>18</v>
      </c>
      <c r="D36" s="6"/>
      <c r="E36" s="6"/>
      <c r="F36" s="6"/>
      <c r="G36" s="6"/>
      <c r="H36" s="6"/>
      <c r="I36" s="6"/>
      <c r="J36" s="6"/>
      <c r="K36" s="6"/>
      <c r="L36" s="6"/>
      <c r="M36" s="6"/>
      <c r="N36" s="6"/>
    </row>
    <row r="37" spans="1:14" x14ac:dyDescent="0.8">
      <c r="A37" s="5" t="s">
        <v>19</v>
      </c>
      <c r="B37" s="14">
        <f>B36*B31</f>
        <v>0.11674642682868937</v>
      </c>
      <c r="C37" s="15" t="s">
        <v>16</v>
      </c>
      <c r="D37" s="6"/>
      <c r="E37" s="6"/>
      <c r="F37" s="6"/>
      <c r="G37" s="6"/>
      <c r="H37" s="6"/>
      <c r="I37" s="6"/>
      <c r="J37" s="6"/>
      <c r="K37" s="6"/>
      <c r="L37" s="6"/>
      <c r="M37" s="6"/>
      <c r="N37" s="6"/>
    </row>
    <row r="38" spans="1:14" x14ac:dyDescent="0.8">
      <c r="A38" s="12" t="s">
        <v>36</v>
      </c>
      <c r="B38" s="7"/>
      <c r="C38" s="6"/>
      <c r="D38" s="6"/>
      <c r="E38" s="6"/>
      <c r="F38" s="6"/>
      <c r="G38" s="6"/>
      <c r="H38" s="6"/>
      <c r="I38" s="6"/>
      <c r="J38" s="6"/>
      <c r="K38" s="6"/>
      <c r="L38" s="6"/>
      <c r="M38" s="6"/>
      <c r="N38" s="6"/>
    </row>
    <row r="39" spans="1:14" x14ac:dyDescent="0.8">
      <c r="A39" s="5" t="s">
        <v>28</v>
      </c>
      <c r="B39" s="14">
        <f>B20</f>
        <v>7.3162729658500028E-3</v>
      </c>
      <c r="C39" s="15" t="s">
        <v>37</v>
      </c>
    </row>
    <row r="40" spans="1:14" x14ac:dyDescent="0.8">
      <c r="A40" s="12" t="s">
        <v>38</v>
      </c>
      <c r="B40" s="13"/>
      <c r="C40" s="6"/>
      <c r="D40" s="6"/>
      <c r="E40" s="6"/>
      <c r="F40" s="6"/>
      <c r="G40" s="6"/>
      <c r="H40" s="6"/>
      <c r="I40" s="6"/>
      <c r="J40" s="6"/>
      <c r="K40" s="6"/>
      <c r="L40" s="6"/>
      <c r="M40" s="6"/>
      <c r="N40" s="6"/>
    </row>
    <row r="41" spans="1:14" x14ac:dyDescent="0.8">
      <c r="A41" s="5" t="s">
        <v>6</v>
      </c>
      <c r="B41" s="13">
        <f>B67</f>
        <v>37.55905511796</v>
      </c>
      <c r="C41" s="6" t="s">
        <v>7</v>
      </c>
      <c r="D41" s="6"/>
      <c r="E41" s="6"/>
      <c r="F41" s="6"/>
      <c r="G41" s="6"/>
      <c r="H41" s="6"/>
      <c r="I41" s="6"/>
      <c r="J41" s="6"/>
      <c r="K41" s="6"/>
      <c r="L41" s="6"/>
      <c r="M41" s="6"/>
      <c r="N41" s="6"/>
    </row>
    <row r="42" spans="1:14" x14ac:dyDescent="0.8">
      <c r="A42" s="5" t="s">
        <v>8</v>
      </c>
      <c r="B42" s="13">
        <f>B66</f>
        <v>129.92125984200001</v>
      </c>
      <c r="C42" s="6" t="s">
        <v>7</v>
      </c>
      <c r="D42" s="6"/>
      <c r="E42" s="6"/>
      <c r="F42" s="6"/>
      <c r="G42" s="6"/>
      <c r="H42" s="6"/>
      <c r="I42" s="6"/>
      <c r="J42" s="6"/>
      <c r="K42" s="6"/>
      <c r="L42" s="6"/>
      <c r="M42" s="6"/>
      <c r="N42" s="6"/>
    </row>
    <row r="43" spans="1:14" x14ac:dyDescent="0.8">
      <c r="A43" s="5" t="s">
        <v>9</v>
      </c>
      <c r="B43" s="13">
        <f>(B42*B41)/144</f>
        <v>33.886942773614457</v>
      </c>
      <c r="C43" s="6" t="s">
        <v>10</v>
      </c>
      <c r="D43" s="6"/>
      <c r="E43" s="6"/>
      <c r="F43" s="6"/>
      <c r="G43" s="6"/>
      <c r="H43" s="6"/>
      <c r="I43" s="6"/>
      <c r="J43" s="6"/>
      <c r="K43" s="6"/>
      <c r="L43" s="6"/>
      <c r="M43" s="6"/>
      <c r="N43" s="6"/>
    </row>
    <row r="44" spans="1:14" x14ac:dyDescent="0.8">
      <c r="A44" s="5" t="s">
        <v>21</v>
      </c>
      <c r="B44" s="13">
        <f>B63</f>
        <v>46661.975426066005</v>
      </c>
      <c r="C44" s="6" t="s">
        <v>33</v>
      </c>
      <c r="D44" s="6"/>
      <c r="E44" s="6"/>
      <c r="F44" s="6"/>
      <c r="G44" s="6"/>
      <c r="H44" s="6"/>
      <c r="I44" s="6"/>
      <c r="J44" s="6"/>
      <c r="K44" s="6"/>
      <c r="L44" s="6"/>
      <c r="M44" s="6"/>
      <c r="N44" s="6"/>
    </row>
    <row r="45" spans="1:14" x14ac:dyDescent="0.8">
      <c r="A45" s="5" t="s">
        <v>13</v>
      </c>
      <c r="B45" s="13">
        <f>B44/B43</f>
        <v>1376.9898257802893</v>
      </c>
      <c r="C45" s="6" t="s">
        <v>14</v>
      </c>
      <c r="D45" s="6"/>
      <c r="E45" s="6"/>
      <c r="F45" s="6"/>
      <c r="G45" s="6"/>
      <c r="H45" s="6"/>
      <c r="I45" s="6"/>
      <c r="J45" s="6"/>
      <c r="K45" s="6"/>
      <c r="L45" s="6"/>
      <c r="M45" s="6"/>
      <c r="N45" s="6"/>
    </row>
    <row r="46" spans="1:14" x14ac:dyDescent="0.8">
      <c r="A46" s="5" t="s">
        <v>15</v>
      </c>
      <c r="B46" s="7">
        <f>(B45/4005)^2</f>
        <v>0.11821060006467768</v>
      </c>
      <c r="C46" s="6" t="s">
        <v>16</v>
      </c>
      <c r="D46" s="6"/>
      <c r="E46" s="6"/>
      <c r="F46" s="6"/>
      <c r="G46" s="6"/>
      <c r="H46" s="6"/>
      <c r="I46" s="6"/>
      <c r="J46" s="6"/>
      <c r="K46" s="6"/>
      <c r="L46" s="6"/>
      <c r="M46" s="6"/>
      <c r="N46" s="6"/>
    </row>
    <row r="47" spans="1:14" x14ac:dyDescent="0.8">
      <c r="A47" s="5" t="s">
        <v>17</v>
      </c>
      <c r="B47" s="7">
        <v>0.5</v>
      </c>
      <c r="C47" s="6" t="s">
        <v>18</v>
      </c>
      <c r="D47" s="6"/>
      <c r="E47" s="6"/>
      <c r="F47" s="6"/>
      <c r="G47" s="6"/>
      <c r="H47" s="6"/>
      <c r="I47" s="6"/>
      <c r="J47" s="6"/>
      <c r="K47" s="6"/>
      <c r="L47" s="6"/>
      <c r="M47" s="6"/>
      <c r="N47" s="6"/>
    </row>
    <row r="48" spans="1:14" x14ac:dyDescent="0.8">
      <c r="A48" s="5" t="s">
        <v>19</v>
      </c>
      <c r="B48" s="14">
        <f>B47*B46</f>
        <v>5.9105300032338839E-2</v>
      </c>
      <c r="C48" s="15" t="s">
        <v>16</v>
      </c>
      <c r="D48" s="6"/>
      <c r="E48" s="6"/>
      <c r="F48" s="6"/>
      <c r="G48" s="6"/>
      <c r="H48" s="6"/>
      <c r="I48" s="6"/>
      <c r="J48" s="6"/>
      <c r="K48" s="6"/>
      <c r="L48" s="6"/>
      <c r="M48" s="6"/>
      <c r="N48" s="6"/>
    </row>
    <row r="49" spans="1:14" x14ac:dyDescent="0.8">
      <c r="A49" s="5" t="s">
        <v>22</v>
      </c>
      <c r="B49" s="7">
        <f>(1000*'[2]Design Info, Unit conversions'!D56)/12</f>
        <v>3.2808398950000002</v>
      </c>
      <c r="C49" s="6" t="s">
        <v>23</v>
      </c>
      <c r="D49" s="6"/>
      <c r="E49" s="6"/>
      <c r="F49" s="6"/>
      <c r="G49" s="6"/>
      <c r="H49" s="6"/>
      <c r="I49" s="6"/>
      <c r="J49" s="6"/>
      <c r="K49" s="6"/>
      <c r="L49" s="6"/>
      <c r="M49" s="6"/>
      <c r="N49" s="6"/>
    </row>
    <row r="50" spans="1:14" x14ac:dyDescent="0.8">
      <c r="A50" s="5" t="s">
        <v>28</v>
      </c>
      <c r="B50" s="14">
        <v>0.01</v>
      </c>
      <c r="C50" s="15" t="s">
        <v>34</v>
      </c>
    </row>
    <row r="51" spans="1:14" x14ac:dyDescent="0.8">
      <c r="A51" s="12" t="s">
        <v>29</v>
      </c>
    </row>
    <row r="52" spans="1:14" x14ac:dyDescent="0.8">
      <c r="A52" s="5" t="s">
        <v>19</v>
      </c>
      <c r="B52" s="17">
        <f>B33</f>
        <v>6.0178570530252253E-2</v>
      </c>
      <c r="C52" s="6" t="s">
        <v>16</v>
      </c>
    </row>
    <row r="53" spans="1:14" x14ac:dyDescent="0.8">
      <c r="A53" s="5" t="s">
        <v>39</v>
      </c>
      <c r="B53" s="17">
        <f>B35</f>
        <v>0.01</v>
      </c>
      <c r="C53" s="6" t="s">
        <v>16</v>
      </c>
    </row>
    <row r="54" spans="1:14" x14ac:dyDescent="0.8">
      <c r="A54" s="5" t="s">
        <v>40</v>
      </c>
      <c r="B54" s="17">
        <f>B37</f>
        <v>0.11674642682868937</v>
      </c>
      <c r="C54" s="6"/>
    </row>
    <row r="55" spans="1:14" x14ac:dyDescent="0.8">
      <c r="A55" s="5" t="s">
        <v>41</v>
      </c>
      <c r="B55" s="17">
        <f>B39</f>
        <v>7.3162729658500028E-3</v>
      </c>
      <c r="C55" s="6"/>
    </row>
    <row r="56" spans="1:14" x14ac:dyDescent="0.8">
      <c r="A56" s="5" t="s">
        <v>42</v>
      </c>
      <c r="B56" s="17">
        <f>B48</f>
        <v>5.9105300032338839E-2</v>
      </c>
      <c r="C56" s="6"/>
    </row>
    <row r="57" spans="1:14" x14ac:dyDescent="0.8">
      <c r="A57" s="5" t="s">
        <v>43</v>
      </c>
      <c r="B57" s="17">
        <f>B50</f>
        <v>0.01</v>
      </c>
      <c r="C57" s="6"/>
    </row>
    <row r="58" spans="1:14" x14ac:dyDescent="0.8">
      <c r="A58" s="5" t="s">
        <v>31</v>
      </c>
      <c r="B58" s="18">
        <f>SUM(B52:B57)</f>
        <v>0.26334657035713049</v>
      </c>
      <c r="C58" s="19" t="s">
        <v>16</v>
      </c>
    </row>
    <row r="59" spans="1:14" s="11" customFormat="1" x14ac:dyDescent="0.8">
      <c r="A59" s="8" t="s">
        <v>44</v>
      </c>
      <c r="B59" s="9"/>
      <c r="C59" s="10"/>
      <c r="D59" s="10"/>
      <c r="E59" s="10"/>
      <c r="F59" s="10"/>
      <c r="G59" s="10"/>
      <c r="H59" s="10"/>
      <c r="I59" s="10"/>
      <c r="J59" s="10"/>
      <c r="K59" s="10"/>
      <c r="L59" s="10"/>
      <c r="M59" s="10"/>
      <c r="N59" s="10"/>
    </row>
    <row r="60" spans="1:14" x14ac:dyDescent="0.8">
      <c r="A60" s="5" t="s">
        <v>45</v>
      </c>
      <c r="B60" s="13">
        <f>3300*'[2]Design Info, Unit conversions'!$D$56</f>
        <v>129.92125984200001</v>
      </c>
      <c r="C60" s="6" t="s">
        <v>7</v>
      </c>
      <c r="D60" s="6"/>
      <c r="E60" s="6"/>
      <c r="F60" s="6"/>
      <c r="G60" s="6"/>
      <c r="H60" s="6"/>
      <c r="I60" s="6"/>
      <c r="J60" s="6"/>
      <c r="K60" s="6"/>
      <c r="L60" s="6"/>
      <c r="M60" s="6"/>
      <c r="N60" s="6"/>
    </row>
    <row r="61" spans="1:14" x14ac:dyDescent="0.8">
      <c r="A61" s="5" t="s">
        <v>46</v>
      </c>
      <c r="B61" s="13">
        <f>(700+254)*'[2]Design Info, Unit conversions'!$D$56</f>
        <v>37.55905511796</v>
      </c>
      <c r="C61" s="6" t="s">
        <v>7</v>
      </c>
      <c r="D61" s="6"/>
      <c r="E61" s="6"/>
      <c r="F61" s="6"/>
      <c r="G61" s="6"/>
      <c r="H61" s="6"/>
      <c r="I61" s="6"/>
      <c r="J61" s="6"/>
      <c r="K61" s="6"/>
      <c r="L61" s="6"/>
      <c r="M61" s="6"/>
      <c r="N61" s="6"/>
    </row>
    <row r="62" spans="1:14" x14ac:dyDescent="0.8">
      <c r="A62" s="5" t="s">
        <v>47</v>
      </c>
      <c r="B62" s="13">
        <f>(B61*B60)/144</f>
        <v>33.886942773614457</v>
      </c>
      <c r="C62" s="6" t="s">
        <v>10</v>
      </c>
      <c r="D62" s="6"/>
      <c r="E62" s="6"/>
      <c r="F62" s="6"/>
      <c r="G62" s="6"/>
      <c r="H62" s="6"/>
      <c r="I62" s="6"/>
      <c r="J62" s="6"/>
      <c r="K62" s="6"/>
      <c r="L62" s="6"/>
      <c r="M62" s="6"/>
      <c r="N62" s="6"/>
    </row>
    <row r="63" spans="1:14" x14ac:dyDescent="0.8">
      <c r="A63" s="5" t="s">
        <v>21</v>
      </c>
      <c r="B63" s="13">
        <f>'[2]AHU8 Data - Design'!C6</f>
        <v>46661.975426066005</v>
      </c>
      <c r="C63" s="6" t="s">
        <v>33</v>
      </c>
      <c r="D63" s="6"/>
      <c r="E63" s="6"/>
      <c r="F63" s="6"/>
      <c r="G63" s="6"/>
      <c r="H63" s="6"/>
      <c r="I63" s="6"/>
      <c r="J63" s="6"/>
      <c r="K63" s="6"/>
      <c r="L63" s="6"/>
      <c r="M63" s="6"/>
      <c r="N63" s="6"/>
    </row>
    <row r="64" spans="1:14" x14ac:dyDescent="0.8">
      <c r="A64" s="5" t="s">
        <v>48</v>
      </c>
      <c r="B64" s="13">
        <f>B63/B62</f>
        <v>1376.9898257802893</v>
      </c>
      <c r="C64" s="6" t="s">
        <v>14</v>
      </c>
      <c r="D64" s="6"/>
      <c r="E64" s="6"/>
      <c r="F64" s="6"/>
      <c r="G64" s="6"/>
      <c r="H64" s="6"/>
      <c r="I64" s="6"/>
      <c r="J64" s="6"/>
      <c r="K64" s="6"/>
      <c r="L64" s="6"/>
      <c r="M64" s="6"/>
      <c r="N64" s="6"/>
    </row>
    <row r="65" spans="1:14" x14ac:dyDescent="0.8">
      <c r="A65" s="5" t="s">
        <v>49</v>
      </c>
      <c r="B65" s="7">
        <v>0.02</v>
      </c>
      <c r="C65" s="6" t="s">
        <v>50</v>
      </c>
      <c r="D65" s="6"/>
      <c r="E65" s="6"/>
      <c r="F65" s="6"/>
      <c r="G65" s="6"/>
      <c r="H65" s="6"/>
      <c r="I65" s="6"/>
      <c r="J65" s="6"/>
      <c r="K65" s="6"/>
      <c r="L65" s="6"/>
      <c r="M65" s="6"/>
      <c r="N65" s="6"/>
    </row>
    <row r="66" spans="1:14" x14ac:dyDescent="0.8">
      <c r="A66" s="5" t="s">
        <v>51</v>
      </c>
      <c r="B66" s="13">
        <f>B60</f>
        <v>129.92125984200001</v>
      </c>
      <c r="C66" s="6" t="s">
        <v>7</v>
      </c>
      <c r="D66" s="6"/>
      <c r="E66" s="6"/>
      <c r="F66" s="6"/>
      <c r="G66" s="6"/>
      <c r="H66" s="6"/>
      <c r="I66" s="6"/>
      <c r="J66" s="6"/>
      <c r="K66" s="6"/>
      <c r="L66" s="6"/>
      <c r="M66" s="6"/>
      <c r="N66" s="6"/>
    </row>
    <row r="67" spans="1:14" x14ac:dyDescent="0.8">
      <c r="A67" s="5" t="s">
        <v>52</v>
      </c>
      <c r="B67" s="13">
        <f>B61</f>
        <v>37.55905511796</v>
      </c>
      <c r="C67" s="6" t="s">
        <v>7</v>
      </c>
      <c r="D67" s="6"/>
      <c r="E67" s="6"/>
      <c r="F67" s="6"/>
      <c r="G67" s="6"/>
      <c r="H67" s="6"/>
      <c r="I67" s="6"/>
      <c r="J67" s="6"/>
      <c r="K67" s="6"/>
      <c r="L67" s="6"/>
      <c r="M67" s="6"/>
      <c r="N67" s="6"/>
    </row>
    <row r="68" spans="1:14" x14ac:dyDescent="0.8">
      <c r="A68" s="5" t="s">
        <v>21</v>
      </c>
      <c r="B68" s="13">
        <f>B63</f>
        <v>46661.975426066005</v>
      </c>
      <c r="C68" s="6" t="s">
        <v>33</v>
      </c>
      <c r="D68" s="6"/>
      <c r="E68" s="6"/>
      <c r="F68" s="6"/>
      <c r="G68" s="6"/>
      <c r="H68" s="6"/>
      <c r="I68" s="6"/>
      <c r="J68" s="6"/>
      <c r="K68" s="6"/>
      <c r="L68" s="6"/>
      <c r="M68" s="6"/>
      <c r="N68" s="6"/>
    </row>
    <row r="69" spans="1:14" x14ac:dyDescent="0.8">
      <c r="A69" s="5" t="s">
        <v>53</v>
      </c>
      <c r="B69" s="13">
        <f>B68/((B67*B66)/144)</f>
        <v>1376.9898257802893</v>
      </c>
      <c r="C69" s="6" t="s">
        <v>14</v>
      </c>
      <c r="D69" s="6"/>
      <c r="E69" s="6"/>
      <c r="F69" s="6"/>
      <c r="G69" s="6"/>
      <c r="H69" s="6"/>
      <c r="I69" s="6"/>
      <c r="J69" s="6"/>
      <c r="K69" s="6"/>
      <c r="L69" s="6"/>
      <c r="M69" s="6"/>
      <c r="N69" s="6"/>
    </row>
    <row r="70" spans="1:14" x14ac:dyDescent="0.8">
      <c r="A70" s="5" t="s">
        <v>54</v>
      </c>
      <c r="B70" s="7">
        <f>(B69/4005)^2</f>
        <v>0.11821060006467768</v>
      </c>
      <c r="C70" s="6" t="s">
        <v>16</v>
      </c>
      <c r="D70" s="6"/>
      <c r="E70" s="6"/>
      <c r="F70" s="6"/>
      <c r="G70" s="6"/>
      <c r="H70" s="6"/>
      <c r="I70" s="6"/>
      <c r="J70" s="6"/>
      <c r="K70" s="6"/>
      <c r="L70" s="6"/>
      <c r="M70" s="6"/>
      <c r="N70" s="6"/>
    </row>
    <row r="71" spans="1:14" x14ac:dyDescent="0.8">
      <c r="A71" s="5" t="s">
        <v>55</v>
      </c>
      <c r="B71" s="7">
        <v>0</v>
      </c>
      <c r="C71" s="6" t="s">
        <v>56</v>
      </c>
      <c r="D71" s="6"/>
      <c r="E71" s="6"/>
      <c r="F71" s="6"/>
      <c r="G71" s="6"/>
      <c r="H71" s="6"/>
      <c r="I71" s="6"/>
      <c r="J71" s="6"/>
      <c r="K71" s="6"/>
      <c r="L71" s="6"/>
      <c r="M71" s="6"/>
      <c r="N71" s="6"/>
    </row>
    <row r="72" spans="1:14" x14ac:dyDescent="0.8">
      <c r="A72" s="5" t="s">
        <v>57</v>
      </c>
      <c r="B72" s="7">
        <f>B36</f>
        <v>0.97</v>
      </c>
      <c r="C72" s="6" t="s">
        <v>56</v>
      </c>
      <c r="D72" s="6"/>
      <c r="E72" s="6"/>
      <c r="F72" s="6"/>
      <c r="G72" s="6"/>
      <c r="H72" s="6"/>
      <c r="I72" s="6"/>
      <c r="J72" s="6"/>
      <c r="K72" s="6"/>
      <c r="L72" s="6"/>
      <c r="M72" s="6"/>
      <c r="N72" s="6"/>
    </row>
    <row r="73" spans="1:14" x14ac:dyDescent="0.8">
      <c r="A73" s="5" t="s">
        <v>19</v>
      </c>
      <c r="B73" s="7">
        <f>B71*B70</f>
        <v>0</v>
      </c>
      <c r="C73" s="6" t="s">
        <v>16</v>
      </c>
      <c r="D73" s="6"/>
      <c r="E73" s="6"/>
      <c r="F73" s="6"/>
      <c r="G73" s="6"/>
      <c r="H73" s="6"/>
      <c r="I73" s="6"/>
      <c r="J73" s="6"/>
      <c r="K73" s="6"/>
      <c r="L73" s="6"/>
      <c r="M73" s="6"/>
      <c r="N73" s="6"/>
    </row>
    <row r="74" spans="1:14" x14ac:dyDescent="0.8">
      <c r="A74" s="20" t="s">
        <v>40</v>
      </c>
      <c r="B74" s="7">
        <f>B72*B70</f>
        <v>0.11466428206273735</v>
      </c>
      <c r="C74" s="21" t="s">
        <v>16</v>
      </c>
      <c r="D74" s="6"/>
      <c r="E74" s="6"/>
      <c r="F74" s="6"/>
      <c r="G74" s="6"/>
      <c r="H74" s="6"/>
      <c r="I74" s="6"/>
      <c r="J74" s="6"/>
      <c r="K74" s="6"/>
      <c r="L74" s="6"/>
      <c r="M74" s="6"/>
      <c r="N74" s="6"/>
    </row>
    <row r="75" spans="1:14" x14ac:dyDescent="0.8">
      <c r="A75" s="5" t="s">
        <v>58</v>
      </c>
      <c r="B75" s="18">
        <f>B65+B73+B74</f>
        <v>0.13466428206273734</v>
      </c>
      <c r="C75" s="19" t="s">
        <v>16</v>
      </c>
      <c r="D75" s="6"/>
      <c r="E75" s="6"/>
      <c r="F75" s="6"/>
      <c r="G75" s="6"/>
      <c r="H75" s="6"/>
      <c r="I75" s="6"/>
      <c r="J75" s="6"/>
      <c r="K75" s="6"/>
      <c r="L75" s="6"/>
      <c r="M75" s="6"/>
      <c r="N75" s="6"/>
    </row>
    <row r="76" spans="1:14" s="11" customFormat="1" x14ac:dyDescent="0.8">
      <c r="A76" s="8" t="s">
        <v>59</v>
      </c>
      <c r="B76" s="9"/>
      <c r="C76" s="10"/>
      <c r="D76" s="10"/>
      <c r="E76" s="10"/>
      <c r="F76" s="10"/>
      <c r="G76" s="10"/>
      <c r="H76" s="10"/>
      <c r="I76" s="10"/>
      <c r="J76" s="10"/>
      <c r="K76" s="10"/>
      <c r="L76" s="10"/>
      <c r="M76" s="10"/>
      <c r="N76" s="10"/>
    </row>
    <row r="77" spans="1:14" x14ac:dyDescent="0.8">
      <c r="A77" s="5" t="s">
        <v>60</v>
      </c>
      <c r="B77" s="18">
        <f>(224/1000)*'[2]Design Info, Unit conversions'!D54</f>
        <v>0.89927732630400004</v>
      </c>
      <c r="C77" s="19" t="s">
        <v>61</v>
      </c>
      <c r="D77" s="6"/>
      <c r="E77" s="6"/>
      <c r="F77" s="6"/>
      <c r="G77" s="6"/>
      <c r="H77" s="6"/>
      <c r="I77" s="6"/>
      <c r="J77" s="6"/>
      <c r="K77" s="6"/>
      <c r="L77" s="6"/>
      <c r="M77" s="6"/>
      <c r="N77" s="6"/>
    </row>
    <row r="78" spans="1:14" s="11" customFormat="1" x14ac:dyDescent="0.8">
      <c r="A78" s="8" t="s">
        <v>62</v>
      </c>
      <c r="B78" s="9"/>
      <c r="C78" s="10"/>
      <c r="D78" s="10"/>
      <c r="E78" s="10"/>
      <c r="F78" s="10"/>
      <c r="G78" s="10"/>
      <c r="H78" s="10"/>
      <c r="I78" s="10"/>
      <c r="J78" s="10"/>
      <c r="K78" s="10"/>
      <c r="L78" s="10"/>
      <c r="M78" s="10"/>
      <c r="N78" s="10"/>
    </row>
    <row r="79" spans="1:14" x14ac:dyDescent="0.8">
      <c r="A79" s="5" t="s">
        <v>60</v>
      </c>
      <c r="B79" s="18">
        <f>(21/1000)*'[2]Design Info, Unit conversions'!D54</f>
        <v>8.4307249341000007E-2</v>
      </c>
      <c r="C79" s="19" t="s">
        <v>63</v>
      </c>
      <c r="D79" s="6"/>
      <c r="E79" s="6"/>
      <c r="F79" s="6"/>
      <c r="G79" s="6"/>
      <c r="H79" s="6"/>
      <c r="I79" s="6"/>
      <c r="J79" s="6"/>
      <c r="K79" s="6"/>
      <c r="L79" s="6"/>
      <c r="M79" s="6"/>
      <c r="N79" s="6"/>
    </row>
    <row r="80" spans="1:14" s="11" customFormat="1" x14ac:dyDescent="0.8">
      <c r="A80" s="8" t="s">
        <v>64</v>
      </c>
      <c r="B80" s="9"/>
      <c r="C80" s="10"/>
      <c r="D80" s="10"/>
      <c r="E80" s="10"/>
      <c r="F80" s="10"/>
      <c r="G80" s="10"/>
      <c r="H80" s="10"/>
      <c r="I80" s="10"/>
      <c r="J80" s="10"/>
      <c r="K80" s="10"/>
      <c r="L80" s="10"/>
      <c r="M80" s="10"/>
      <c r="N80" s="10"/>
    </row>
    <row r="81" spans="1:14" x14ac:dyDescent="0.8">
      <c r="A81" s="5" t="s">
        <v>60</v>
      </c>
      <c r="B81" s="18">
        <f>(221/1000)*'[2]Design Info, Unit conversions'!$D$54</f>
        <v>0.88723343354100004</v>
      </c>
      <c r="C81" s="19" t="s">
        <v>63</v>
      </c>
      <c r="D81" s="6"/>
      <c r="E81" s="6"/>
      <c r="F81" s="6"/>
      <c r="G81" s="6"/>
      <c r="H81" s="6"/>
      <c r="I81" s="6"/>
      <c r="J81" s="6"/>
      <c r="K81" s="6"/>
      <c r="L81" s="6"/>
      <c r="M81" s="6"/>
      <c r="N81" s="6"/>
    </row>
    <row r="82" spans="1:14" s="11" customFormat="1" x14ac:dyDescent="0.8">
      <c r="A82" s="8" t="s">
        <v>65</v>
      </c>
      <c r="B82" s="9"/>
      <c r="C82" s="10"/>
      <c r="D82" s="10"/>
      <c r="E82" s="10"/>
      <c r="F82" s="10"/>
      <c r="G82" s="10"/>
      <c r="H82" s="10"/>
      <c r="I82" s="10"/>
      <c r="J82" s="10"/>
      <c r="K82" s="10"/>
      <c r="L82" s="10"/>
      <c r="M82" s="10"/>
      <c r="N82" s="10"/>
    </row>
    <row r="83" spans="1:14" x14ac:dyDescent="0.8">
      <c r="A83" s="5" t="s">
        <v>60</v>
      </c>
      <c r="B83" s="18">
        <f>(373/1000)*'[2]Design Info, Unit conversions'!$D$54</f>
        <v>1.4974573335330001</v>
      </c>
      <c r="C83" s="19" t="s">
        <v>61</v>
      </c>
      <c r="D83" s="6"/>
      <c r="E83" s="6"/>
      <c r="F83" s="6"/>
      <c r="G83" s="6"/>
      <c r="H83" s="6"/>
      <c r="I83" s="6"/>
      <c r="J83" s="6"/>
      <c r="K83" s="6"/>
      <c r="L83" s="6"/>
      <c r="M83" s="6"/>
      <c r="N83" s="6"/>
    </row>
    <row r="84" spans="1:14" s="11" customFormat="1" x14ac:dyDescent="0.8">
      <c r="A84" s="8" t="s">
        <v>66</v>
      </c>
      <c r="B84" s="9"/>
      <c r="C84" s="10"/>
      <c r="D84" s="10"/>
      <c r="E84" s="10"/>
      <c r="F84" s="10"/>
      <c r="G84" s="10"/>
      <c r="H84" s="10"/>
      <c r="I84" s="10"/>
      <c r="J84" s="10"/>
      <c r="K84" s="10"/>
      <c r="L84" s="10"/>
      <c r="M84" s="10"/>
      <c r="N84" s="10"/>
    </row>
    <row r="85" spans="1:14" x14ac:dyDescent="0.8">
      <c r="A85" s="5" t="s">
        <v>60</v>
      </c>
      <c r="B85" s="18">
        <f>(6/1000)*'[2]Design Info, Unit conversions'!$D$54</f>
        <v>2.4087785526000001E-2</v>
      </c>
      <c r="C85" s="19" t="s">
        <v>61</v>
      </c>
      <c r="D85" s="6"/>
      <c r="E85" s="6"/>
      <c r="F85" s="6"/>
      <c r="G85" s="6"/>
      <c r="H85" s="6"/>
      <c r="I85" s="6"/>
      <c r="J85" s="6"/>
      <c r="K85" s="6"/>
      <c r="L85" s="6"/>
      <c r="M85" s="6"/>
      <c r="N85" s="6"/>
    </row>
    <row r="86" spans="1:14" s="11" customFormat="1" x14ac:dyDescent="0.8">
      <c r="A86" s="8" t="s">
        <v>67</v>
      </c>
      <c r="B86" s="9"/>
      <c r="C86" s="10"/>
      <c r="D86" s="10"/>
      <c r="E86" s="10"/>
      <c r="F86" s="10"/>
      <c r="G86" s="10"/>
      <c r="H86" s="10"/>
      <c r="I86" s="10"/>
      <c r="J86" s="10"/>
      <c r="K86" s="10"/>
      <c r="L86" s="10"/>
      <c r="M86" s="10"/>
      <c r="N86" s="10"/>
    </row>
    <row r="87" spans="1:14" x14ac:dyDescent="0.8">
      <c r="A87" s="22" t="s">
        <v>5</v>
      </c>
      <c r="B87" s="13"/>
      <c r="C87" s="6"/>
    </row>
    <row r="88" spans="1:14" x14ac:dyDescent="0.8">
      <c r="A88" s="5" t="s">
        <v>68</v>
      </c>
      <c r="B88" s="13">
        <f>102*'[2]Design Info, Unit conversions'!$D$56</f>
        <v>4.0157480314800003</v>
      </c>
      <c r="C88" s="6" t="s">
        <v>7</v>
      </c>
    </row>
    <row r="89" spans="1:14" x14ac:dyDescent="0.8">
      <c r="A89" s="5" t="s">
        <v>69</v>
      </c>
      <c r="B89" s="13">
        <f>1200*'[2]Design Info, Unit conversions'!$D$56</f>
        <v>47.244094488000002</v>
      </c>
      <c r="C89" s="6" t="s">
        <v>7</v>
      </c>
    </row>
    <row r="90" spans="1:14" x14ac:dyDescent="0.8">
      <c r="A90" s="5" t="s">
        <v>52</v>
      </c>
      <c r="B90" s="13">
        <f>3861*'[2]Design Info, Unit conversions'!$D$56</f>
        <v>152.00787401514</v>
      </c>
      <c r="C90" s="6" t="s">
        <v>7</v>
      </c>
    </row>
    <row r="91" spans="1:14" x14ac:dyDescent="0.8">
      <c r="A91" s="5" t="s">
        <v>70</v>
      </c>
      <c r="B91" s="13">
        <f>(B90*B89)/144</f>
        <v>49.871349742300517</v>
      </c>
      <c r="C91" s="6" t="s">
        <v>10</v>
      </c>
    </row>
    <row r="92" spans="1:14" x14ac:dyDescent="0.8">
      <c r="A92" s="5" t="s">
        <v>71</v>
      </c>
      <c r="B92" s="13">
        <f>B63</f>
        <v>46661.975426066005</v>
      </c>
      <c r="C92" s="6" t="s">
        <v>33</v>
      </c>
    </row>
    <row r="93" spans="1:14" x14ac:dyDescent="0.8">
      <c r="A93" s="5" t="s">
        <v>53</v>
      </c>
      <c r="B93" s="13">
        <f>B92/B91</f>
        <v>935.64693290199159</v>
      </c>
      <c r="C93" s="6" t="s">
        <v>14</v>
      </c>
    </row>
    <row r="94" spans="1:14" x14ac:dyDescent="0.8">
      <c r="A94" s="5" t="s">
        <v>6</v>
      </c>
      <c r="B94" s="13">
        <f>900*'[2]Design Info, Unit conversions'!$D$56</f>
        <v>35.433070866000001</v>
      </c>
      <c r="C94" s="6" t="s">
        <v>7</v>
      </c>
    </row>
    <row r="95" spans="1:14" x14ac:dyDescent="0.8">
      <c r="A95" s="5" t="s">
        <v>8</v>
      </c>
      <c r="B95" s="13">
        <f>1800*'[2]Design Info, Unit conversions'!$D$56</f>
        <v>70.866141732000003</v>
      </c>
      <c r="C95" s="6" t="s">
        <v>7</v>
      </c>
    </row>
    <row r="96" spans="1:14" x14ac:dyDescent="0.8">
      <c r="A96" s="5" t="s">
        <v>9</v>
      </c>
      <c r="B96" s="13">
        <f>(B95*B94)/144</f>
        <v>17.43753487493025</v>
      </c>
      <c r="C96" s="6" t="s">
        <v>10</v>
      </c>
    </row>
    <row r="97" spans="1:3" x14ac:dyDescent="0.8">
      <c r="A97" s="5" t="s">
        <v>11</v>
      </c>
      <c r="B97" s="13">
        <f>B68</f>
        <v>46661.975426066005</v>
      </c>
      <c r="C97" s="6" t="s">
        <v>72</v>
      </c>
    </row>
    <row r="98" spans="1:3" x14ac:dyDescent="0.8">
      <c r="A98" s="5" t="s">
        <v>13</v>
      </c>
      <c r="B98" s="13">
        <f>B97/B96</f>
        <v>2675.9502280996958</v>
      </c>
      <c r="C98" s="6" t="s">
        <v>14</v>
      </c>
    </row>
    <row r="99" spans="1:3" x14ac:dyDescent="0.8">
      <c r="A99" s="5" t="s">
        <v>15</v>
      </c>
      <c r="B99" s="7">
        <f>(B98/4005)^2</f>
        <v>0.44642758494870255</v>
      </c>
      <c r="C99" s="6" t="s">
        <v>16</v>
      </c>
    </row>
    <row r="100" spans="1:3" x14ac:dyDescent="0.8">
      <c r="A100" s="5" t="s">
        <v>17</v>
      </c>
      <c r="B100" s="7">
        <v>0.17</v>
      </c>
      <c r="C100" s="6" t="s">
        <v>18</v>
      </c>
    </row>
    <row r="101" spans="1:3" x14ac:dyDescent="0.8">
      <c r="A101" s="5" t="s">
        <v>19</v>
      </c>
      <c r="B101" s="14">
        <f>B100*B99</f>
        <v>7.5892689441279443E-2</v>
      </c>
      <c r="C101" s="15" t="s">
        <v>16</v>
      </c>
    </row>
    <row r="102" spans="1:3" x14ac:dyDescent="0.8">
      <c r="A102" s="22" t="s">
        <v>73</v>
      </c>
      <c r="B102" s="13"/>
      <c r="C102" s="6"/>
    </row>
    <row r="103" spans="1:3" x14ac:dyDescent="0.8">
      <c r="A103" s="5" t="s">
        <v>6</v>
      </c>
      <c r="B103" s="13">
        <f>900*'[2]Design Info, Unit conversions'!$D$56</f>
        <v>35.433070866000001</v>
      </c>
      <c r="C103" s="6" t="s">
        <v>7</v>
      </c>
    </row>
    <row r="104" spans="1:3" x14ac:dyDescent="0.8">
      <c r="A104" s="5" t="s">
        <v>8</v>
      </c>
      <c r="B104" s="13">
        <f>1800*'[2]Design Info, Unit conversions'!$D$56</f>
        <v>70.866141732000003</v>
      </c>
      <c r="C104" s="6" t="s">
        <v>7</v>
      </c>
    </row>
    <row r="105" spans="1:3" x14ac:dyDescent="0.8">
      <c r="A105" s="5" t="s">
        <v>9</v>
      </c>
      <c r="B105" s="13">
        <f>(B104*B103)/144</f>
        <v>17.43753487493025</v>
      </c>
      <c r="C105" s="6" t="s">
        <v>10</v>
      </c>
    </row>
    <row r="106" spans="1:3" x14ac:dyDescent="0.8">
      <c r="A106" s="5" t="s">
        <v>11</v>
      </c>
      <c r="B106" s="13">
        <f>B97</f>
        <v>46661.975426066005</v>
      </c>
      <c r="C106" s="6" t="s">
        <v>33</v>
      </c>
    </row>
    <row r="107" spans="1:3" x14ac:dyDescent="0.8">
      <c r="A107" s="5" t="s">
        <v>13</v>
      </c>
      <c r="B107" s="13">
        <f>B106/B105</f>
        <v>2675.9502280996958</v>
      </c>
      <c r="C107" s="6" t="s">
        <v>14</v>
      </c>
    </row>
    <row r="108" spans="1:3" x14ac:dyDescent="0.8">
      <c r="A108" s="5" t="s">
        <v>15</v>
      </c>
      <c r="B108" s="7">
        <f>(B107/4005)^2</f>
        <v>0.44642758494870255</v>
      </c>
      <c r="C108" s="6" t="s">
        <v>16</v>
      </c>
    </row>
    <row r="109" spans="1:3" x14ac:dyDescent="0.8">
      <c r="A109" s="5" t="s">
        <v>74</v>
      </c>
      <c r="B109" s="7">
        <v>0.11</v>
      </c>
      <c r="C109" s="6" t="s">
        <v>75</v>
      </c>
    </row>
    <row r="110" spans="1:3" x14ac:dyDescent="0.8">
      <c r="A110" s="5" t="s">
        <v>76</v>
      </c>
      <c r="B110" s="14">
        <f>B109*B108</f>
        <v>4.910703434435728E-2</v>
      </c>
      <c r="C110" s="15" t="s">
        <v>77</v>
      </c>
    </row>
    <row r="111" spans="1:3" x14ac:dyDescent="0.8">
      <c r="A111" s="22" t="s">
        <v>78</v>
      </c>
      <c r="B111" s="13"/>
      <c r="C111" s="6"/>
    </row>
    <row r="112" spans="1:3" x14ac:dyDescent="0.8">
      <c r="A112" s="5" t="s">
        <v>6</v>
      </c>
      <c r="B112" s="13">
        <f>900*'[2]Design Info, Unit conversions'!$D$56</f>
        <v>35.433070866000001</v>
      </c>
      <c r="C112" s="6" t="s">
        <v>7</v>
      </c>
    </row>
    <row r="113" spans="1:3" x14ac:dyDescent="0.8">
      <c r="A113" s="5" t="s">
        <v>8</v>
      </c>
      <c r="B113" s="13">
        <f>1800*'[2]Design Info, Unit conversions'!$D$56</f>
        <v>70.866141732000003</v>
      </c>
      <c r="C113" s="6" t="s">
        <v>7</v>
      </c>
    </row>
    <row r="114" spans="1:3" x14ac:dyDescent="0.8">
      <c r="A114" s="5" t="s">
        <v>9</v>
      </c>
      <c r="B114" s="13">
        <f>(B113*B112)/144</f>
        <v>17.43753487493025</v>
      </c>
      <c r="C114" s="6" t="s">
        <v>10</v>
      </c>
    </row>
    <row r="115" spans="1:3" x14ac:dyDescent="0.8">
      <c r="A115" s="5" t="s">
        <v>11</v>
      </c>
      <c r="B115" s="13">
        <f>B106</f>
        <v>46661.975426066005</v>
      </c>
      <c r="C115" s="6" t="s">
        <v>72</v>
      </c>
    </row>
    <row r="116" spans="1:3" x14ac:dyDescent="0.8">
      <c r="A116" s="5" t="s">
        <v>13</v>
      </c>
      <c r="B116" s="13">
        <f>B115/B114</f>
        <v>2675.9502280996958</v>
      </c>
      <c r="C116" s="6" t="s">
        <v>14</v>
      </c>
    </row>
    <row r="117" spans="1:3" x14ac:dyDescent="0.8">
      <c r="A117" s="5" t="s">
        <v>15</v>
      </c>
      <c r="B117" s="7">
        <f>(B116/4005)^2</f>
        <v>0.44642758494870255</v>
      </c>
      <c r="C117" s="6" t="s">
        <v>16</v>
      </c>
    </row>
    <row r="118" spans="1:3" x14ac:dyDescent="0.8">
      <c r="A118" s="5" t="s">
        <v>74</v>
      </c>
      <c r="B118" s="7">
        <v>0.11</v>
      </c>
      <c r="C118" s="6" t="s">
        <v>79</v>
      </c>
    </row>
    <row r="119" spans="1:3" x14ac:dyDescent="0.8">
      <c r="A119" s="5" t="s">
        <v>76</v>
      </c>
      <c r="B119" s="7">
        <f>B118*B117</f>
        <v>4.910703434435728E-2</v>
      </c>
      <c r="C119" s="6" t="s">
        <v>77</v>
      </c>
    </row>
    <row r="120" spans="1:3" x14ac:dyDescent="0.8">
      <c r="A120" s="12" t="s">
        <v>80</v>
      </c>
      <c r="B120" s="13"/>
      <c r="C120" s="6"/>
    </row>
    <row r="121" spans="1:3" x14ac:dyDescent="0.8">
      <c r="A121" s="5" t="s">
        <v>81</v>
      </c>
      <c r="B121" s="13">
        <v>2</v>
      </c>
      <c r="C121" s="6" t="s">
        <v>23</v>
      </c>
    </row>
    <row r="122" spans="1:3" x14ac:dyDescent="0.8">
      <c r="A122" s="5" t="s">
        <v>82</v>
      </c>
      <c r="B122" s="7">
        <v>1.75</v>
      </c>
      <c r="C122" s="6" t="s">
        <v>83</v>
      </c>
    </row>
    <row r="123" spans="1:3" x14ac:dyDescent="0.8">
      <c r="A123" s="5" t="s">
        <v>84</v>
      </c>
      <c r="B123" s="14">
        <f>B122*B119</f>
        <v>8.5937310102625245E-2</v>
      </c>
      <c r="C123" s="15" t="s">
        <v>77</v>
      </c>
    </row>
    <row r="124" spans="1:3" x14ac:dyDescent="0.8">
      <c r="A124" s="12" t="s">
        <v>85</v>
      </c>
      <c r="B124" s="13"/>
      <c r="C124" s="6"/>
    </row>
    <row r="125" spans="1:3" x14ac:dyDescent="0.8">
      <c r="A125" s="5" t="s">
        <v>81</v>
      </c>
      <c r="B125" s="13">
        <f>(2673*'[2]Design Info, Unit conversions'!D56)/12</f>
        <v>8.7696850393350001</v>
      </c>
      <c r="C125" s="6" t="s">
        <v>23</v>
      </c>
    </row>
    <row r="126" spans="1:3" x14ac:dyDescent="0.8">
      <c r="A126" s="5" t="s">
        <v>82</v>
      </c>
      <c r="B126" s="7">
        <v>1.05</v>
      </c>
      <c r="C126" s="6" t="s">
        <v>83</v>
      </c>
    </row>
    <row r="127" spans="1:3" x14ac:dyDescent="0.8">
      <c r="A127" s="5" t="s">
        <v>86</v>
      </c>
      <c r="B127" s="14">
        <f>B126*B119</f>
        <v>5.1562386061575143E-2</v>
      </c>
      <c r="C127" s="15" t="s">
        <v>77</v>
      </c>
    </row>
    <row r="128" spans="1:3" x14ac:dyDescent="0.8">
      <c r="A128" s="12" t="s">
        <v>87</v>
      </c>
      <c r="B128" s="13"/>
      <c r="C128" s="6"/>
    </row>
    <row r="129" spans="1:14" x14ac:dyDescent="0.8">
      <c r="A129" s="5" t="s">
        <v>81</v>
      </c>
      <c r="B129" s="13">
        <v>2</v>
      </c>
      <c r="C129" s="6" t="s">
        <v>23</v>
      </c>
    </row>
    <row r="130" spans="1:14" x14ac:dyDescent="0.8">
      <c r="A130" s="5" t="s">
        <v>82</v>
      </c>
      <c r="B130" s="7">
        <f>B122</f>
        <v>1.75</v>
      </c>
      <c r="C130" s="6" t="s">
        <v>83</v>
      </c>
    </row>
    <row r="131" spans="1:14" x14ac:dyDescent="0.8">
      <c r="A131" s="5" t="s">
        <v>88</v>
      </c>
      <c r="B131" s="14">
        <f>B130*B110</f>
        <v>8.5937310102625245E-2</v>
      </c>
      <c r="C131" s="15" t="s">
        <v>77</v>
      </c>
    </row>
    <row r="132" spans="1:14" x14ac:dyDescent="0.8">
      <c r="A132" s="12" t="s">
        <v>89</v>
      </c>
      <c r="B132" s="13"/>
      <c r="C132" s="6"/>
    </row>
    <row r="133" spans="1:14" x14ac:dyDescent="0.8">
      <c r="A133" s="5" t="s">
        <v>6</v>
      </c>
      <c r="B133" s="13">
        <f>B112</f>
        <v>35.433070866000001</v>
      </c>
      <c r="C133" s="6" t="s">
        <v>7</v>
      </c>
      <c r="D133" s="6"/>
      <c r="E133" s="6"/>
      <c r="F133" s="6"/>
      <c r="G133" s="6"/>
      <c r="H133" s="6"/>
      <c r="I133" s="6"/>
      <c r="J133" s="6"/>
      <c r="K133" s="6"/>
      <c r="L133" s="6"/>
      <c r="M133" s="6"/>
      <c r="N133" s="6"/>
    </row>
    <row r="134" spans="1:14" x14ac:dyDescent="0.8">
      <c r="A134" s="5" t="s">
        <v>8</v>
      </c>
      <c r="B134" s="13">
        <f>B113</f>
        <v>70.866141732000003</v>
      </c>
      <c r="C134" s="6" t="s">
        <v>7</v>
      </c>
      <c r="D134" s="6"/>
      <c r="E134" s="6"/>
      <c r="F134" s="6"/>
      <c r="G134" s="6"/>
      <c r="H134" s="6"/>
      <c r="I134" s="6"/>
      <c r="J134" s="6"/>
      <c r="K134" s="6"/>
      <c r="L134" s="6"/>
      <c r="M134" s="6"/>
      <c r="N134" s="6"/>
    </row>
    <row r="135" spans="1:14" x14ac:dyDescent="0.8">
      <c r="A135" s="5" t="s">
        <v>9</v>
      </c>
      <c r="B135" s="13">
        <f>(B134*B133)/144</f>
        <v>17.43753487493025</v>
      </c>
      <c r="C135" s="6" t="s">
        <v>10</v>
      </c>
      <c r="D135" s="6"/>
      <c r="E135" s="6"/>
      <c r="F135" s="6"/>
      <c r="G135" s="6"/>
      <c r="H135" s="6"/>
      <c r="I135" s="6"/>
      <c r="J135" s="6"/>
      <c r="K135" s="6"/>
      <c r="L135" s="6"/>
      <c r="M135" s="6"/>
      <c r="N135" s="6"/>
    </row>
    <row r="136" spans="1:14" x14ac:dyDescent="0.8">
      <c r="A136" s="5" t="s">
        <v>21</v>
      </c>
      <c r="B136" s="13">
        <f>B115</f>
        <v>46661.975426066005</v>
      </c>
      <c r="C136" s="6" t="s">
        <v>33</v>
      </c>
      <c r="D136" s="6"/>
      <c r="E136" s="6"/>
      <c r="F136" s="6"/>
      <c r="G136" s="6"/>
      <c r="H136" s="6"/>
      <c r="I136" s="6"/>
      <c r="J136" s="6"/>
      <c r="K136" s="6"/>
      <c r="L136" s="6"/>
      <c r="M136" s="6"/>
      <c r="N136" s="6"/>
    </row>
    <row r="137" spans="1:14" x14ac:dyDescent="0.8">
      <c r="A137" s="5" t="s">
        <v>13</v>
      </c>
      <c r="B137" s="13">
        <f>B136/B135</f>
        <v>2675.9502280996958</v>
      </c>
      <c r="C137" s="6" t="s">
        <v>14</v>
      </c>
      <c r="D137" s="6"/>
      <c r="E137" s="6"/>
      <c r="F137" s="6"/>
      <c r="G137" s="6"/>
      <c r="H137" s="6"/>
      <c r="I137" s="6"/>
      <c r="J137" s="6"/>
      <c r="K137" s="6"/>
      <c r="L137" s="6"/>
      <c r="M137" s="6"/>
      <c r="N137" s="6"/>
    </row>
    <row r="138" spans="1:14" x14ac:dyDescent="0.8">
      <c r="A138" s="5" t="s">
        <v>15</v>
      </c>
      <c r="B138" s="7">
        <f>(B137/4005)^2</f>
        <v>0.44642758494870255</v>
      </c>
      <c r="C138" s="6" t="s">
        <v>16</v>
      </c>
      <c r="D138" s="6"/>
      <c r="E138" s="6"/>
      <c r="F138" s="6"/>
      <c r="G138" s="6"/>
      <c r="H138" s="6"/>
      <c r="I138" s="6"/>
      <c r="J138" s="6"/>
      <c r="K138" s="6"/>
      <c r="L138" s="6"/>
      <c r="M138" s="6"/>
      <c r="N138" s="6"/>
    </row>
    <row r="139" spans="1:14" x14ac:dyDescent="0.8">
      <c r="A139" s="5" t="s">
        <v>22</v>
      </c>
      <c r="B139" s="7">
        <f>B125+10</f>
        <v>18.769685039335002</v>
      </c>
      <c r="C139" s="6" t="s">
        <v>23</v>
      </c>
      <c r="D139" s="6"/>
      <c r="E139" s="6"/>
      <c r="F139" s="6"/>
      <c r="G139" s="6"/>
      <c r="H139" s="6"/>
      <c r="I139" s="6"/>
      <c r="J139" s="6"/>
      <c r="K139" s="6"/>
      <c r="L139" s="6"/>
      <c r="M139" s="6"/>
      <c r="N139" s="6"/>
    </row>
    <row r="140" spans="1:14" x14ac:dyDescent="0.8">
      <c r="A140" s="5" t="s">
        <v>28</v>
      </c>
      <c r="B140" s="14">
        <v>0.03</v>
      </c>
      <c r="C140" s="15" t="s">
        <v>34</v>
      </c>
    </row>
    <row r="141" spans="1:14" x14ac:dyDescent="0.8">
      <c r="A141" s="12" t="s">
        <v>29</v>
      </c>
    </row>
    <row r="142" spans="1:14" x14ac:dyDescent="0.8">
      <c r="A142" s="5" t="s">
        <v>40</v>
      </c>
      <c r="B142" s="17">
        <f>B101</f>
        <v>7.5892689441279443E-2</v>
      </c>
      <c r="C142" s="6" t="s">
        <v>16</v>
      </c>
    </row>
    <row r="143" spans="1:14" x14ac:dyDescent="0.8">
      <c r="A143" s="5" t="s">
        <v>90</v>
      </c>
      <c r="B143" s="17">
        <f>B110</f>
        <v>4.910703434435728E-2</v>
      </c>
      <c r="C143" s="6" t="s">
        <v>16</v>
      </c>
    </row>
    <row r="144" spans="1:14" x14ac:dyDescent="0.8">
      <c r="A144" s="5" t="s">
        <v>91</v>
      </c>
      <c r="B144" s="17">
        <f>B123</f>
        <v>8.5937310102625245E-2</v>
      </c>
      <c r="C144" s="6" t="s">
        <v>16</v>
      </c>
    </row>
    <row r="145" spans="1:14" x14ac:dyDescent="0.8">
      <c r="A145" s="5" t="s">
        <v>92</v>
      </c>
      <c r="B145" s="17">
        <f>B140</f>
        <v>0.03</v>
      </c>
      <c r="C145" t="s">
        <v>93</v>
      </c>
    </row>
    <row r="146" spans="1:14" x14ac:dyDescent="0.8">
      <c r="A146" s="5" t="s">
        <v>94</v>
      </c>
      <c r="B146" s="17">
        <f>B127</f>
        <v>5.1562386061575143E-2</v>
      </c>
      <c r="C146" s="6" t="s">
        <v>16</v>
      </c>
    </row>
    <row r="147" spans="1:14" x14ac:dyDescent="0.8">
      <c r="A147" s="5" t="s">
        <v>95</v>
      </c>
      <c r="B147" s="17">
        <f>B131</f>
        <v>8.5937310102625245E-2</v>
      </c>
      <c r="C147" s="6" t="s">
        <v>16</v>
      </c>
    </row>
    <row r="148" spans="1:14" x14ac:dyDescent="0.8">
      <c r="A148" s="5" t="s">
        <v>96</v>
      </c>
      <c r="B148" s="23">
        <f>SUM(B142:B147)</f>
        <v>0.37843673005246231</v>
      </c>
      <c r="C148" s="19" t="s">
        <v>16</v>
      </c>
    </row>
    <row r="149" spans="1:14" s="11" customFormat="1" x14ac:dyDescent="0.8">
      <c r="A149" s="8" t="s">
        <v>97</v>
      </c>
      <c r="B149" s="9"/>
      <c r="C149" s="10"/>
      <c r="D149" s="10"/>
      <c r="E149" s="10"/>
      <c r="F149" s="10"/>
      <c r="G149" s="10"/>
      <c r="H149" s="10"/>
      <c r="I149" s="10"/>
      <c r="J149" s="10"/>
      <c r="K149" s="10"/>
      <c r="L149" s="10"/>
      <c r="M149" s="10"/>
      <c r="N149" s="10"/>
    </row>
    <row r="150" spans="1:14" x14ac:dyDescent="0.8">
      <c r="A150" s="12" t="s">
        <v>89</v>
      </c>
      <c r="B150" s="13"/>
      <c r="C150" s="6"/>
    </row>
    <row r="151" spans="1:14" x14ac:dyDescent="0.8">
      <c r="A151" s="5" t="s">
        <v>6</v>
      </c>
      <c r="B151" s="13">
        <f>900*'[2]Design Info, Unit conversions'!$D$56</f>
        <v>35.433070866000001</v>
      </c>
      <c r="C151" s="6" t="s">
        <v>7</v>
      </c>
    </row>
    <row r="152" spans="1:14" x14ac:dyDescent="0.8">
      <c r="A152" s="5" t="s">
        <v>8</v>
      </c>
      <c r="B152" s="13">
        <f>1800*'[2]Design Info, Unit conversions'!$D$56</f>
        <v>70.866141732000003</v>
      </c>
      <c r="C152" s="6" t="s">
        <v>7</v>
      </c>
    </row>
    <row r="153" spans="1:14" x14ac:dyDescent="0.8">
      <c r="A153" s="5" t="s">
        <v>9</v>
      </c>
      <c r="B153" s="13">
        <f>(B152*B151)/144</f>
        <v>17.43753487493025</v>
      </c>
      <c r="C153" s="6" t="s">
        <v>10</v>
      </c>
    </row>
    <row r="154" spans="1:14" x14ac:dyDescent="0.8">
      <c r="A154" s="5" t="s">
        <v>21</v>
      </c>
      <c r="B154" s="13">
        <f>B136</f>
        <v>46661.975426066005</v>
      </c>
      <c r="C154" s="6" t="s">
        <v>33</v>
      </c>
    </row>
    <row r="155" spans="1:14" x14ac:dyDescent="0.8">
      <c r="A155" s="5" t="s">
        <v>13</v>
      </c>
      <c r="B155" s="13">
        <f>B154/B153</f>
        <v>2675.9502280996958</v>
      </c>
      <c r="C155" s="6" t="s">
        <v>14</v>
      </c>
    </row>
    <row r="156" spans="1:14" x14ac:dyDescent="0.8">
      <c r="A156" s="5" t="s">
        <v>15</v>
      </c>
      <c r="B156" s="7">
        <f>(B155/4005)^2</f>
        <v>0.44642758494870255</v>
      </c>
      <c r="C156" s="6" t="s">
        <v>16</v>
      </c>
    </row>
    <row r="157" spans="1:14" x14ac:dyDescent="0.8">
      <c r="A157" s="5" t="s">
        <v>22</v>
      </c>
      <c r="B157" s="7">
        <f>(((148.06-138.2)*1000)*'[2]Design Info, Unit conversions'!$D$56)/12</f>
        <v>32.349081364700048</v>
      </c>
      <c r="C157" s="6" t="s">
        <v>23</v>
      </c>
    </row>
    <row r="158" spans="1:14" x14ac:dyDescent="0.8">
      <c r="A158" s="5" t="s">
        <v>28</v>
      </c>
      <c r="B158" s="14">
        <v>0.05</v>
      </c>
      <c r="C158" s="15" t="s">
        <v>34</v>
      </c>
    </row>
    <row r="159" spans="1:14" x14ac:dyDescent="0.8">
      <c r="A159" s="22" t="s">
        <v>98</v>
      </c>
      <c r="B159" s="13"/>
      <c r="C159" s="6"/>
    </row>
    <row r="160" spans="1:14" x14ac:dyDescent="0.8">
      <c r="A160" s="5" t="s">
        <v>6</v>
      </c>
      <c r="B160" s="13">
        <f>900*'[2]Design Info, Unit conversions'!$D$56</f>
        <v>35.433070866000001</v>
      </c>
      <c r="C160" s="6" t="s">
        <v>7</v>
      </c>
    </row>
    <row r="161" spans="1:14" x14ac:dyDescent="0.8">
      <c r="A161" s="5" t="s">
        <v>8</v>
      </c>
      <c r="B161" s="13">
        <f>1800*'[2]Design Info, Unit conversions'!$D$56</f>
        <v>70.866141732000003</v>
      </c>
      <c r="C161" s="6" t="s">
        <v>7</v>
      </c>
    </row>
    <row r="162" spans="1:14" x14ac:dyDescent="0.8">
      <c r="A162" s="5" t="s">
        <v>9</v>
      </c>
      <c r="B162" s="13">
        <f>(B161*B160)/144</f>
        <v>17.43753487493025</v>
      </c>
      <c r="C162" s="6" t="s">
        <v>10</v>
      </c>
    </row>
    <row r="163" spans="1:14" x14ac:dyDescent="0.8">
      <c r="A163" s="5" t="s">
        <v>11</v>
      </c>
      <c r="B163" s="13">
        <f>B154</f>
        <v>46661.975426066005</v>
      </c>
      <c r="C163" s="6" t="s">
        <v>72</v>
      </c>
    </row>
    <row r="164" spans="1:14" x14ac:dyDescent="0.8">
      <c r="A164" s="5" t="s">
        <v>13</v>
      </c>
      <c r="B164" s="13">
        <f>B163/B162</f>
        <v>2675.9502280996958</v>
      </c>
      <c r="C164" s="6" t="s">
        <v>14</v>
      </c>
    </row>
    <row r="165" spans="1:14" x14ac:dyDescent="0.8">
      <c r="A165" s="5" t="s">
        <v>15</v>
      </c>
      <c r="B165" s="7">
        <f>(B164/4005)^2</f>
        <v>0.44642758494870255</v>
      </c>
      <c r="C165" s="6" t="s">
        <v>16</v>
      </c>
    </row>
    <row r="166" spans="1:14" x14ac:dyDescent="0.8">
      <c r="A166" s="5" t="s">
        <v>74</v>
      </c>
      <c r="B166" s="7">
        <v>0.11</v>
      </c>
      <c r="C166" s="6" t="s">
        <v>75</v>
      </c>
    </row>
    <row r="167" spans="1:14" x14ac:dyDescent="0.8">
      <c r="A167" s="5" t="s">
        <v>76</v>
      </c>
      <c r="B167" s="14">
        <f>B166*B165</f>
        <v>4.910703434435728E-2</v>
      </c>
      <c r="C167" s="15" t="s">
        <v>77</v>
      </c>
    </row>
    <row r="168" spans="1:14" x14ac:dyDescent="0.8">
      <c r="A168" s="12" t="s">
        <v>29</v>
      </c>
    </row>
    <row r="169" spans="1:14" x14ac:dyDescent="0.8">
      <c r="A169" s="5" t="s">
        <v>92</v>
      </c>
      <c r="B169" s="17">
        <f>B158</f>
        <v>0.05</v>
      </c>
      <c r="C169" t="s">
        <v>93</v>
      </c>
    </row>
    <row r="170" spans="1:14" x14ac:dyDescent="0.8">
      <c r="A170" s="5" t="s">
        <v>99</v>
      </c>
      <c r="B170" s="17">
        <f>B167</f>
        <v>4.910703434435728E-2</v>
      </c>
      <c r="C170" s="6" t="s">
        <v>16</v>
      </c>
    </row>
    <row r="171" spans="1:14" x14ac:dyDescent="0.8">
      <c r="A171" s="5" t="s">
        <v>96</v>
      </c>
      <c r="B171" s="23">
        <f>SUM(B169:B170)</f>
        <v>9.9107034344357275E-2</v>
      </c>
      <c r="C171" s="19" t="s">
        <v>16</v>
      </c>
    </row>
    <row r="172" spans="1:14" s="11" customFormat="1" x14ac:dyDescent="0.8">
      <c r="A172" s="8" t="s">
        <v>100</v>
      </c>
      <c r="B172" s="9"/>
      <c r="C172" s="10"/>
      <c r="D172" s="10"/>
      <c r="E172" s="10"/>
      <c r="F172" s="10"/>
      <c r="G172" s="10"/>
      <c r="H172" s="10"/>
      <c r="I172" s="10"/>
      <c r="J172" s="10"/>
      <c r="K172" s="10"/>
      <c r="L172" s="10"/>
      <c r="M172" s="10"/>
      <c r="N172" s="10"/>
    </row>
    <row r="173" spans="1:14" x14ac:dyDescent="0.8">
      <c r="A173" s="12" t="s">
        <v>89</v>
      </c>
      <c r="B173" s="13"/>
      <c r="C173" s="6"/>
    </row>
    <row r="174" spans="1:14" x14ac:dyDescent="0.8">
      <c r="A174" s="5" t="s">
        <v>6</v>
      </c>
      <c r="B174" s="13">
        <f>900*'[2]Design Info, Unit conversions'!$D$56</f>
        <v>35.433070866000001</v>
      </c>
      <c r="C174" s="6" t="s">
        <v>7</v>
      </c>
    </row>
    <row r="175" spans="1:14" x14ac:dyDescent="0.8">
      <c r="A175" s="5" t="s">
        <v>8</v>
      </c>
      <c r="B175" s="13">
        <f>1800*'[2]Design Info, Unit conversions'!$D$56</f>
        <v>70.866141732000003</v>
      </c>
      <c r="C175" s="6" t="s">
        <v>7</v>
      </c>
    </row>
    <row r="176" spans="1:14" x14ac:dyDescent="0.8">
      <c r="A176" s="5" t="s">
        <v>9</v>
      </c>
      <c r="B176" s="13">
        <f>(B175*B174)/144</f>
        <v>17.43753487493025</v>
      </c>
      <c r="C176" s="6" t="s">
        <v>10</v>
      </c>
    </row>
    <row r="177" spans="1:7" x14ac:dyDescent="0.8">
      <c r="A177" s="5" t="s">
        <v>21</v>
      </c>
      <c r="B177" s="13">
        <f>B163</f>
        <v>46661.975426066005</v>
      </c>
      <c r="C177" s="6" t="s">
        <v>33</v>
      </c>
    </row>
    <row r="178" spans="1:7" x14ac:dyDescent="0.8">
      <c r="A178" s="5" t="s">
        <v>13</v>
      </c>
      <c r="B178" s="13">
        <f>B177/B176</f>
        <v>2675.9502280996958</v>
      </c>
      <c r="C178" s="6" t="s">
        <v>14</v>
      </c>
    </row>
    <row r="179" spans="1:7" x14ac:dyDescent="0.8">
      <c r="A179" s="5" t="s">
        <v>15</v>
      </c>
      <c r="B179" s="7">
        <f>(B178/4005)^2</f>
        <v>0.44642758494870255</v>
      </c>
      <c r="C179" s="6" t="s">
        <v>16</v>
      </c>
    </row>
    <row r="180" spans="1:7" x14ac:dyDescent="0.8">
      <c r="A180" s="5" t="s">
        <v>22</v>
      </c>
      <c r="B180" s="7">
        <f>(((0.5)*1000)*'[2]Design Info, Unit conversions'!$D$56)/12</f>
        <v>1.6404199475000001</v>
      </c>
      <c r="C180" s="6" t="s">
        <v>23</v>
      </c>
    </row>
    <row r="181" spans="1:7" x14ac:dyDescent="0.8">
      <c r="A181" s="5" t="s">
        <v>28</v>
      </c>
      <c r="B181" s="14">
        <v>0</v>
      </c>
      <c r="C181" s="15" t="s">
        <v>34</v>
      </c>
    </row>
    <row r="182" spans="1:7" x14ac:dyDescent="0.8">
      <c r="A182" s="22" t="s">
        <v>101</v>
      </c>
      <c r="B182" s="13"/>
      <c r="C182" s="6"/>
      <c r="E182" s="22" t="s">
        <v>102</v>
      </c>
      <c r="F182" s="13"/>
      <c r="G182" s="6"/>
    </row>
    <row r="183" spans="1:7" x14ac:dyDescent="0.8">
      <c r="A183" s="5" t="s">
        <v>6</v>
      </c>
      <c r="B183" s="13">
        <f>900*'[2]Design Info, Unit conversions'!$D$56</f>
        <v>35.433070866000001</v>
      </c>
      <c r="C183" s="6" t="s">
        <v>7</v>
      </c>
      <c r="E183" s="5" t="s">
        <v>6</v>
      </c>
      <c r="F183" s="13">
        <f>900*'[2]Design Info, Unit conversions'!$D$56</f>
        <v>35.433070866000001</v>
      </c>
      <c r="G183" s="6" t="s">
        <v>7</v>
      </c>
    </row>
    <row r="184" spans="1:7" x14ac:dyDescent="0.8">
      <c r="A184" s="5" t="s">
        <v>103</v>
      </c>
      <c r="B184" s="13">
        <f>1800*'[2]Design Info, Unit conversions'!$D$56</f>
        <v>70.866141732000003</v>
      </c>
      <c r="C184" s="6" t="s">
        <v>7</v>
      </c>
      <c r="E184" s="5" t="s">
        <v>8</v>
      </c>
      <c r="F184" s="13">
        <f>1800*'[2]Design Info, Unit conversions'!$D$56</f>
        <v>70.866141732000003</v>
      </c>
      <c r="G184" s="6" t="s">
        <v>7</v>
      </c>
    </row>
    <row r="185" spans="1:7" x14ac:dyDescent="0.8">
      <c r="A185" s="5" t="s">
        <v>104</v>
      </c>
      <c r="B185" s="13">
        <f>(B184*B183)/144</f>
        <v>17.43753487493025</v>
      </c>
      <c r="C185" s="6" t="s">
        <v>10</v>
      </c>
      <c r="E185" s="5" t="s">
        <v>9</v>
      </c>
      <c r="F185" s="13">
        <f>(F184*F183)/144</f>
        <v>17.43753487493025</v>
      </c>
      <c r="G185" s="6" t="s">
        <v>10</v>
      </c>
    </row>
    <row r="186" spans="1:7" x14ac:dyDescent="0.8">
      <c r="A186" s="5" t="s">
        <v>105</v>
      </c>
      <c r="B186" s="13">
        <f>2000*'[2]Design Info, Unit conversions'!$D$56</f>
        <v>78.740157480000008</v>
      </c>
      <c r="C186" s="6" t="s">
        <v>7</v>
      </c>
      <c r="E186" s="5" t="s">
        <v>11</v>
      </c>
      <c r="F186" s="13">
        <f>B188</f>
        <v>46661.975426066005</v>
      </c>
      <c r="G186" s="6" t="s">
        <v>12</v>
      </c>
    </row>
    <row r="187" spans="1:7" x14ac:dyDescent="0.8">
      <c r="A187" s="5" t="s">
        <v>106</v>
      </c>
      <c r="B187" s="13">
        <f>(B186*B183)/144</f>
        <v>19.375038749922503</v>
      </c>
      <c r="C187" s="6" t="s">
        <v>10</v>
      </c>
      <c r="E187" s="5" t="s">
        <v>13</v>
      </c>
      <c r="F187" s="13">
        <f>F186/F185</f>
        <v>2675.9502280996958</v>
      </c>
      <c r="G187" s="6" t="s">
        <v>14</v>
      </c>
    </row>
    <row r="188" spans="1:7" x14ac:dyDescent="0.8">
      <c r="A188" s="5" t="s">
        <v>11</v>
      </c>
      <c r="B188" s="13">
        <f>B177</f>
        <v>46661.975426066005</v>
      </c>
      <c r="C188" s="6" t="s">
        <v>72</v>
      </c>
      <c r="E188" s="5" t="s">
        <v>15</v>
      </c>
      <c r="F188" s="7">
        <f>(F187/4005)^2</f>
        <v>0.44642758494870255</v>
      </c>
      <c r="G188" s="6" t="s">
        <v>16</v>
      </c>
    </row>
    <row r="189" spans="1:7" x14ac:dyDescent="0.8">
      <c r="A189" s="5" t="s">
        <v>107</v>
      </c>
      <c r="B189" s="13">
        <f>B188/B185</f>
        <v>2675.9502280996958</v>
      </c>
      <c r="C189" s="6" t="s">
        <v>14</v>
      </c>
      <c r="E189" s="5" t="s">
        <v>74</v>
      </c>
      <c r="F189" s="7">
        <v>0.11</v>
      </c>
      <c r="G189" s="6" t="s">
        <v>75</v>
      </c>
    </row>
    <row r="190" spans="1:7" x14ac:dyDescent="0.8">
      <c r="A190" s="5" t="s">
        <v>108</v>
      </c>
      <c r="B190" s="7">
        <f>(B189/4005)^2</f>
        <v>0.44642758494870255</v>
      </c>
      <c r="C190" s="6" t="s">
        <v>16</v>
      </c>
      <c r="E190" s="5" t="s">
        <v>76</v>
      </c>
      <c r="F190" s="14">
        <f>F189*F188</f>
        <v>4.910703434435728E-2</v>
      </c>
      <c r="G190" s="15" t="s">
        <v>77</v>
      </c>
    </row>
    <row r="191" spans="1:7" x14ac:dyDescent="0.8">
      <c r="A191" s="5" t="s">
        <v>109</v>
      </c>
      <c r="B191" s="13">
        <f>B188/B187</f>
        <v>2408.3552052897257</v>
      </c>
      <c r="C191" s="6" t="s">
        <v>14</v>
      </c>
      <c r="E191" s="22" t="s">
        <v>110</v>
      </c>
      <c r="F191" s="13"/>
      <c r="G191" s="6"/>
    </row>
    <row r="192" spans="1:7" x14ac:dyDescent="0.8">
      <c r="A192" s="5" t="s">
        <v>111</v>
      </c>
      <c r="B192" s="7">
        <f>(B191/4005)^2</f>
        <v>0.36160634380844897</v>
      </c>
      <c r="C192" s="6" t="s">
        <v>16</v>
      </c>
      <c r="E192" s="5" t="s">
        <v>6</v>
      </c>
      <c r="F192" s="13">
        <f>900*'[2]Design Info, Unit conversions'!$D$56</f>
        <v>35.433070866000001</v>
      </c>
      <c r="G192" s="6" t="s">
        <v>7</v>
      </c>
    </row>
    <row r="193" spans="1:7" ht="85.5" x14ac:dyDescent="0.8">
      <c r="A193" s="5" t="s">
        <v>74</v>
      </c>
      <c r="B193" s="7">
        <v>1.42</v>
      </c>
      <c r="C193" s="24" t="s">
        <v>112</v>
      </c>
      <c r="E193" s="5" t="s">
        <v>8</v>
      </c>
      <c r="F193" s="13">
        <f>1800*'[2]Design Info, Unit conversions'!$D$56</f>
        <v>70.866141732000003</v>
      </c>
      <c r="G193" s="6" t="s">
        <v>7</v>
      </c>
    </row>
    <row r="194" spans="1:7" x14ac:dyDescent="0.8">
      <c r="A194" s="5" t="s">
        <v>76</v>
      </c>
      <c r="B194" s="7">
        <f>B193*B192</f>
        <v>0.51348100820799747</v>
      </c>
      <c r="C194" s="6" t="s">
        <v>77</v>
      </c>
      <c r="E194" s="5" t="s">
        <v>9</v>
      </c>
      <c r="F194" s="13">
        <f>(F193*F192)/144</f>
        <v>17.43753487493025</v>
      </c>
      <c r="G194" s="6" t="s">
        <v>10</v>
      </c>
    </row>
    <row r="195" spans="1:7" x14ac:dyDescent="0.8">
      <c r="A195" s="5" t="s">
        <v>113</v>
      </c>
      <c r="B195" s="7">
        <f>B194*F223</f>
        <v>5.2787767198953006E-2</v>
      </c>
      <c r="C195" s="6" t="s">
        <v>114</v>
      </c>
      <c r="E195" s="5"/>
      <c r="F195" s="13"/>
      <c r="G195" s="6"/>
    </row>
    <row r="196" spans="1:7" x14ac:dyDescent="0.8">
      <c r="A196" s="12" t="s">
        <v>115</v>
      </c>
      <c r="B196" s="13"/>
      <c r="C196" s="6"/>
      <c r="E196" s="5" t="s">
        <v>11</v>
      </c>
      <c r="F196" s="13">
        <f>F186</f>
        <v>46661.975426066005</v>
      </c>
      <c r="G196" s="6" t="s">
        <v>12</v>
      </c>
    </row>
    <row r="197" spans="1:7" x14ac:dyDescent="0.8">
      <c r="A197" s="5" t="s">
        <v>81</v>
      </c>
      <c r="B197" s="13">
        <v>2</v>
      </c>
      <c r="C197" s="6" t="s">
        <v>23</v>
      </c>
      <c r="E197" s="5" t="s">
        <v>13</v>
      </c>
      <c r="F197" s="13">
        <f>F196/F194</f>
        <v>2675.9502280996958</v>
      </c>
      <c r="G197" s="6" t="s">
        <v>14</v>
      </c>
    </row>
    <row r="198" spans="1:7" x14ac:dyDescent="0.8">
      <c r="A198" s="5" t="s">
        <v>82</v>
      </c>
      <c r="B198" s="7">
        <v>1.78</v>
      </c>
      <c r="C198" s="6" t="s">
        <v>83</v>
      </c>
      <c r="E198" s="5" t="s">
        <v>15</v>
      </c>
      <c r="F198" s="7">
        <f>(F197/4005)^2</f>
        <v>0.44642758494870255</v>
      </c>
      <c r="G198" s="6" t="s">
        <v>16</v>
      </c>
    </row>
    <row r="199" spans="1:7" x14ac:dyDescent="0.8">
      <c r="A199" s="5" t="s">
        <v>116</v>
      </c>
      <c r="B199" s="14">
        <f>B198*B195</f>
        <v>9.3962225614136349E-2</v>
      </c>
      <c r="C199" s="15" t="s">
        <v>77</v>
      </c>
      <c r="E199" s="5" t="s">
        <v>74</v>
      </c>
      <c r="F199" s="7">
        <v>1.07</v>
      </c>
      <c r="G199" s="6" t="s">
        <v>75</v>
      </c>
    </row>
    <row r="200" spans="1:7" x14ac:dyDescent="0.8">
      <c r="A200" s="12" t="s">
        <v>89</v>
      </c>
      <c r="B200" s="13"/>
      <c r="C200" s="6"/>
    </row>
    <row r="201" spans="1:7" x14ac:dyDescent="0.8">
      <c r="A201" s="5" t="s">
        <v>6</v>
      </c>
      <c r="B201" s="13">
        <f>900*'[2]Design Info, Unit conversions'!$D$56</f>
        <v>35.433070866000001</v>
      </c>
      <c r="C201" s="6" t="s">
        <v>7</v>
      </c>
    </row>
    <row r="202" spans="1:7" x14ac:dyDescent="0.8">
      <c r="A202" s="5" t="s">
        <v>8</v>
      </c>
      <c r="B202" s="13">
        <f>2000*'[2]Design Info, Unit conversions'!$D$56</f>
        <v>78.740157480000008</v>
      </c>
      <c r="C202" s="6" t="s">
        <v>7</v>
      </c>
    </row>
    <row r="203" spans="1:7" x14ac:dyDescent="0.8">
      <c r="A203" s="5" t="s">
        <v>9</v>
      </c>
      <c r="B203" s="13">
        <f>(B202*B201)/144</f>
        <v>19.375038749922503</v>
      </c>
      <c r="C203" s="6" t="s">
        <v>10</v>
      </c>
    </row>
    <row r="204" spans="1:7" x14ac:dyDescent="0.8">
      <c r="A204" s="5" t="s">
        <v>21</v>
      </c>
      <c r="B204" s="13">
        <f>B188</f>
        <v>46661.975426066005</v>
      </c>
      <c r="C204" s="6" t="s">
        <v>33</v>
      </c>
    </row>
    <row r="205" spans="1:7" x14ac:dyDescent="0.8">
      <c r="A205" s="5" t="s">
        <v>13</v>
      </c>
      <c r="B205" s="13">
        <f>B204/B203</f>
        <v>2408.3552052897257</v>
      </c>
      <c r="C205" s="6" t="s">
        <v>14</v>
      </c>
    </row>
    <row r="206" spans="1:7" x14ac:dyDescent="0.8">
      <c r="A206" s="5" t="s">
        <v>15</v>
      </c>
      <c r="B206" s="7">
        <f>(B205/4005)^2</f>
        <v>0.36160634380844897</v>
      </c>
      <c r="C206" s="6" t="s">
        <v>16</v>
      </c>
    </row>
    <row r="207" spans="1:7" x14ac:dyDescent="0.8">
      <c r="A207" s="5" t="s">
        <v>22</v>
      </c>
      <c r="B207" s="7">
        <f>(1500*'[2]Design Info, Unit conversions'!$D$56)/12</f>
        <v>4.9212598425000005</v>
      </c>
      <c r="C207" s="6" t="s">
        <v>23</v>
      </c>
    </row>
    <row r="208" spans="1:7" x14ac:dyDescent="0.8">
      <c r="A208" s="5" t="s">
        <v>28</v>
      </c>
      <c r="B208" s="14">
        <v>0.01</v>
      </c>
      <c r="C208" s="15" t="s">
        <v>34</v>
      </c>
    </row>
    <row r="209" spans="1:7" x14ac:dyDescent="0.8">
      <c r="A209" s="22" t="s">
        <v>117</v>
      </c>
      <c r="B209" s="13"/>
      <c r="C209" s="6"/>
      <c r="E209" s="5" t="s">
        <v>76</v>
      </c>
      <c r="F209" s="14">
        <f>F225*F224</f>
        <v>0</v>
      </c>
      <c r="G209" s="15" t="s">
        <v>77</v>
      </c>
    </row>
    <row r="210" spans="1:7" x14ac:dyDescent="0.8">
      <c r="A210" s="5" t="s">
        <v>6</v>
      </c>
      <c r="B210" s="13">
        <f>900*'[2]Design Info, Unit conversions'!$D$56</f>
        <v>35.433070866000001</v>
      </c>
      <c r="C210" s="6" t="s">
        <v>7</v>
      </c>
      <c r="E210" s="5" t="s">
        <v>6</v>
      </c>
      <c r="F210" s="13">
        <f>900*'[2]Design Info, Unit conversions'!$D$56</f>
        <v>35.433070866000001</v>
      </c>
      <c r="G210" s="6" t="s">
        <v>7</v>
      </c>
    </row>
    <row r="211" spans="1:7" x14ac:dyDescent="0.8">
      <c r="A211" s="5" t="s">
        <v>103</v>
      </c>
      <c r="B211" s="13">
        <f>2000*'[2]Design Info, Unit conversions'!$D$56</f>
        <v>78.740157480000008</v>
      </c>
      <c r="C211" s="6" t="s">
        <v>7</v>
      </c>
      <c r="E211" s="5" t="s">
        <v>8</v>
      </c>
      <c r="F211" s="13">
        <f>1800*'[2]Design Info, Unit conversions'!$D$56</f>
        <v>70.866141732000003</v>
      </c>
      <c r="G211" s="6" t="s">
        <v>7</v>
      </c>
    </row>
    <row r="212" spans="1:7" x14ac:dyDescent="0.8">
      <c r="A212" s="5" t="s">
        <v>104</v>
      </c>
      <c r="B212" s="13">
        <f>(B211*B210)/144</f>
        <v>19.375038749922503</v>
      </c>
      <c r="C212" s="6" t="s">
        <v>10</v>
      </c>
      <c r="E212" s="5" t="s">
        <v>9</v>
      </c>
      <c r="F212" s="13">
        <f>(F211*F210)/144</f>
        <v>17.43753487493025</v>
      </c>
      <c r="G212" s="6" t="s">
        <v>10</v>
      </c>
    </row>
    <row r="213" spans="1:7" x14ac:dyDescent="0.8">
      <c r="A213" s="5" t="s">
        <v>118</v>
      </c>
      <c r="B213" s="13">
        <f>1050*'[2]Design Info, Unit conversions'!$D$56</f>
        <v>41.338582677000005</v>
      </c>
      <c r="C213" s="6" t="s">
        <v>7</v>
      </c>
      <c r="E213" s="5" t="s">
        <v>6</v>
      </c>
      <c r="F213" s="13">
        <f>900*'[2]Design Info, Unit conversions'!$D$56</f>
        <v>35.433070866000001</v>
      </c>
      <c r="G213" s="6" t="s">
        <v>7</v>
      </c>
    </row>
    <row r="214" spans="1:7" x14ac:dyDescent="0.8">
      <c r="A214" s="5" t="s">
        <v>105</v>
      </c>
      <c r="B214" s="13">
        <f>1400*'[2]Design Info, Unit conversions'!$D$56</f>
        <v>55.118110236</v>
      </c>
      <c r="C214" s="6" t="s">
        <v>7</v>
      </c>
      <c r="E214" s="5" t="s">
        <v>11</v>
      </c>
      <c r="F214" s="13">
        <f>B216</f>
        <v>46661.975426066005</v>
      </c>
      <c r="G214" s="6" t="s">
        <v>12</v>
      </c>
    </row>
    <row r="215" spans="1:7" x14ac:dyDescent="0.8">
      <c r="A215" s="5" t="s">
        <v>106</v>
      </c>
      <c r="B215" s="13">
        <f>(B214*B210)/144</f>
        <v>13.562527124945751</v>
      </c>
      <c r="C215" s="6" t="s">
        <v>10</v>
      </c>
      <c r="E215" s="5" t="s">
        <v>13</v>
      </c>
      <c r="F215" s="13">
        <f>F214/F212</f>
        <v>2675.9502280996958</v>
      </c>
      <c r="G215" s="6" t="s">
        <v>14</v>
      </c>
    </row>
    <row r="216" spans="1:7" x14ac:dyDescent="0.8">
      <c r="A216" s="5" t="s">
        <v>11</v>
      </c>
      <c r="B216" s="13">
        <f>B226</f>
        <v>46661.975426066005</v>
      </c>
      <c r="C216" s="6" t="s">
        <v>72</v>
      </c>
      <c r="E216" s="5" t="s">
        <v>15</v>
      </c>
      <c r="F216" s="7">
        <f>(F215/4005)^2</f>
        <v>0.44642758494870255</v>
      </c>
      <c r="G216" s="6" t="s">
        <v>16</v>
      </c>
    </row>
    <row r="217" spans="1:7" x14ac:dyDescent="0.8">
      <c r="A217" s="5" t="s">
        <v>107</v>
      </c>
      <c r="B217" s="13">
        <f>B216/B212</f>
        <v>2408.3552052897257</v>
      </c>
      <c r="C217" s="6" t="s">
        <v>14</v>
      </c>
      <c r="E217" s="5" t="s">
        <v>74</v>
      </c>
      <c r="F217" s="7">
        <v>0.11</v>
      </c>
      <c r="G217" s="6" t="s">
        <v>75</v>
      </c>
    </row>
    <row r="218" spans="1:7" x14ac:dyDescent="0.8">
      <c r="A218" s="5" t="s">
        <v>108</v>
      </c>
      <c r="B218" s="7">
        <f>(B217/4005)^2</f>
        <v>0.36160634380844897</v>
      </c>
      <c r="C218" s="6" t="s">
        <v>16</v>
      </c>
      <c r="E218" s="5" t="s">
        <v>76</v>
      </c>
      <c r="F218" s="14">
        <f>F217*F216</f>
        <v>4.910703434435728E-2</v>
      </c>
      <c r="G218" s="15" t="s">
        <v>77</v>
      </c>
    </row>
    <row r="219" spans="1:7" x14ac:dyDescent="0.8">
      <c r="A219" s="5" t="s">
        <v>109</v>
      </c>
      <c r="B219" s="13">
        <f>B216/B215</f>
        <v>3440.5074361281804</v>
      </c>
      <c r="C219" s="6" t="s">
        <v>14</v>
      </c>
      <c r="E219" s="22" t="s">
        <v>110</v>
      </c>
      <c r="F219" s="13"/>
      <c r="G219" s="6"/>
    </row>
    <row r="220" spans="1:7" x14ac:dyDescent="0.8">
      <c r="A220" s="5" t="s">
        <v>111</v>
      </c>
      <c r="B220" s="7">
        <f>(B219/4005)^2</f>
        <v>0.73797213022132491</v>
      </c>
      <c r="C220" s="6" t="s">
        <v>16</v>
      </c>
      <c r="E220" s="5" t="s">
        <v>6</v>
      </c>
      <c r="F220" s="13">
        <f>900*'[2]Design Info, Unit conversions'!$D$56</f>
        <v>35.433070866000001</v>
      </c>
      <c r="G220" s="6" t="s">
        <v>7</v>
      </c>
    </row>
    <row r="221" spans="1:7" x14ac:dyDescent="0.8">
      <c r="A221" s="5" t="s">
        <v>119</v>
      </c>
      <c r="B221" s="14">
        <f>B220-B218</f>
        <v>0.37636578641287594</v>
      </c>
      <c r="C221" s="15" t="s">
        <v>120</v>
      </c>
    </row>
    <row r="222" spans="1:7" x14ac:dyDescent="0.8">
      <c r="A222" s="22" t="s">
        <v>98</v>
      </c>
      <c r="B222" s="13"/>
      <c r="C222" s="6"/>
      <c r="E222" s="5" t="s">
        <v>76</v>
      </c>
      <c r="F222" s="14">
        <f>F199*F198</f>
        <v>0.47767751589511176</v>
      </c>
      <c r="G222" s="15" t="s">
        <v>77</v>
      </c>
    </row>
    <row r="223" spans="1:7" x14ac:dyDescent="0.8">
      <c r="A223" s="5" t="s">
        <v>6</v>
      </c>
      <c r="B223" s="13">
        <f>1050*'[2]Design Info, Unit conversions'!$D$56</f>
        <v>41.338582677000005</v>
      </c>
      <c r="C223" s="6" t="s">
        <v>7</v>
      </c>
      <c r="E223" s="5" t="s">
        <v>121</v>
      </c>
      <c r="F223">
        <f>F190/F222</f>
        <v>0.10280373831775701</v>
      </c>
    </row>
    <row r="224" spans="1:7" x14ac:dyDescent="0.8">
      <c r="A224" s="5" t="s">
        <v>8</v>
      </c>
      <c r="B224" s="13">
        <f>1400*'[2]Design Info, Unit conversions'!$D$56</f>
        <v>55.118110236</v>
      </c>
      <c r="C224" s="6" t="s">
        <v>7</v>
      </c>
    </row>
    <row r="225" spans="1:7" x14ac:dyDescent="0.8">
      <c r="A225" s="5" t="s">
        <v>9</v>
      </c>
      <c r="B225" s="13">
        <f>(B224*B223)/144</f>
        <v>15.82294831243671</v>
      </c>
      <c r="C225" s="6" t="s">
        <v>10</v>
      </c>
    </row>
    <row r="226" spans="1:7" x14ac:dyDescent="0.8">
      <c r="A226" s="5" t="s">
        <v>11</v>
      </c>
      <c r="B226" s="13">
        <f>B188</f>
        <v>46661.975426066005</v>
      </c>
      <c r="C226" s="6" t="s">
        <v>72</v>
      </c>
    </row>
    <row r="227" spans="1:7" x14ac:dyDescent="0.8">
      <c r="A227" s="5" t="s">
        <v>13</v>
      </c>
      <c r="B227" s="13">
        <f>B226/B225</f>
        <v>2949.0063738241543</v>
      </c>
      <c r="C227" s="6" t="s">
        <v>14</v>
      </c>
    </row>
    <row r="228" spans="1:7" x14ac:dyDescent="0.8">
      <c r="A228" s="5" t="s">
        <v>15</v>
      </c>
      <c r="B228" s="7">
        <f>(B227/4005)^2</f>
        <v>0.54218360587689163</v>
      </c>
      <c r="C228" s="6" t="s">
        <v>16</v>
      </c>
    </row>
    <row r="229" spans="1:7" x14ac:dyDescent="0.8">
      <c r="A229" s="5" t="s">
        <v>74</v>
      </c>
      <c r="B229" s="7">
        <v>0.11</v>
      </c>
      <c r="C229" s="6" t="s">
        <v>75</v>
      </c>
    </row>
    <row r="230" spans="1:7" x14ac:dyDescent="0.8">
      <c r="A230" s="5" t="s">
        <v>76</v>
      </c>
      <c r="B230" s="7">
        <f>B229*B228</f>
        <v>5.9640196646458081E-2</v>
      </c>
      <c r="C230" s="6" t="s">
        <v>77</v>
      </c>
    </row>
    <row r="231" spans="1:7" x14ac:dyDescent="0.8">
      <c r="A231" s="12" t="s">
        <v>122</v>
      </c>
      <c r="B231" s="13"/>
      <c r="C231" s="6"/>
      <c r="E231" s="5" t="s">
        <v>11</v>
      </c>
      <c r="F231" s="13">
        <f>F221</f>
        <v>0</v>
      </c>
      <c r="G231" s="6" t="s">
        <v>12</v>
      </c>
    </row>
    <row r="232" spans="1:7" x14ac:dyDescent="0.8">
      <c r="A232" s="5" t="s">
        <v>81</v>
      </c>
      <c r="B232" s="13">
        <f>(1500*'[2]Design Info, Unit conversions'!$D$56)/12</f>
        <v>4.9212598425000005</v>
      </c>
      <c r="C232" s="6" t="s">
        <v>23</v>
      </c>
      <c r="E232" s="5" t="s">
        <v>13</v>
      </c>
      <c r="F232" s="13" t="e">
        <f>F231/F229</f>
        <v>#DIV/0!</v>
      </c>
      <c r="G232" s="6" t="s">
        <v>14</v>
      </c>
    </row>
    <row r="233" spans="1:7" x14ac:dyDescent="0.8">
      <c r="A233" s="5" t="s">
        <v>82</v>
      </c>
      <c r="B233" s="7">
        <v>1.3</v>
      </c>
      <c r="C233" s="6" t="s">
        <v>83</v>
      </c>
      <c r="E233" s="5" t="s">
        <v>15</v>
      </c>
      <c r="F233" s="7" t="e">
        <f>(F232/4005)^2</f>
        <v>#DIV/0!</v>
      </c>
      <c r="G233" s="6" t="s">
        <v>16</v>
      </c>
    </row>
    <row r="234" spans="1:7" x14ac:dyDescent="0.8">
      <c r="A234" s="5" t="s">
        <v>116</v>
      </c>
      <c r="B234" s="14">
        <f>B233*B230</f>
        <v>7.7532255640395509E-2</v>
      </c>
      <c r="C234" s="15" t="s">
        <v>77</v>
      </c>
      <c r="E234" s="5" t="s">
        <v>74</v>
      </c>
      <c r="F234" s="7">
        <v>1.07</v>
      </c>
      <c r="G234" s="6" t="s">
        <v>75</v>
      </c>
    </row>
    <row r="235" spans="1:7" x14ac:dyDescent="0.8">
      <c r="A235" s="12" t="s">
        <v>89</v>
      </c>
      <c r="B235" s="13"/>
      <c r="C235" s="6"/>
    </row>
    <row r="236" spans="1:7" x14ac:dyDescent="0.8">
      <c r="A236" s="5" t="s">
        <v>6</v>
      </c>
      <c r="B236" s="13">
        <f>1050*'[2]Design Info, Unit conversions'!$D$56</f>
        <v>41.338582677000005</v>
      </c>
      <c r="C236" s="6" t="s">
        <v>7</v>
      </c>
    </row>
    <row r="237" spans="1:7" x14ac:dyDescent="0.8">
      <c r="A237" s="5" t="s">
        <v>8</v>
      </c>
      <c r="B237" s="13">
        <f>1400*'[2]Design Info, Unit conversions'!$D$56</f>
        <v>55.118110236</v>
      </c>
      <c r="C237" s="6" t="s">
        <v>7</v>
      </c>
    </row>
    <row r="238" spans="1:7" x14ac:dyDescent="0.8">
      <c r="A238" s="5" t="s">
        <v>9</v>
      </c>
      <c r="B238" s="13">
        <f>(B237*B236)/144</f>
        <v>15.82294831243671</v>
      </c>
      <c r="C238" s="6" t="s">
        <v>10</v>
      </c>
    </row>
    <row r="239" spans="1:7" x14ac:dyDescent="0.8">
      <c r="A239" s="5" t="s">
        <v>21</v>
      </c>
      <c r="B239" s="13">
        <f>B226</f>
        <v>46661.975426066005</v>
      </c>
      <c r="C239" s="6" t="s">
        <v>33</v>
      </c>
    </row>
    <row r="240" spans="1:7" x14ac:dyDescent="0.8">
      <c r="A240" s="5" t="s">
        <v>13</v>
      </c>
      <c r="B240" s="13">
        <f>B239/B238</f>
        <v>2949.0063738241543</v>
      </c>
      <c r="C240" s="6" t="s">
        <v>14</v>
      </c>
    </row>
    <row r="241" spans="1:14" x14ac:dyDescent="0.8">
      <c r="A241" s="5" t="s">
        <v>15</v>
      </c>
      <c r="B241" s="7">
        <f>(B240/4005)^2</f>
        <v>0.54218360587689163</v>
      </c>
      <c r="C241" s="6" t="s">
        <v>16</v>
      </c>
    </row>
    <row r="242" spans="1:14" x14ac:dyDescent="0.8">
      <c r="A242" s="5" t="s">
        <v>22</v>
      </c>
      <c r="B242" s="7">
        <f>(1000*'[2]Design Info, Unit conversions'!$D$56)/12</f>
        <v>3.2808398950000002</v>
      </c>
      <c r="C242" s="6" t="s">
        <v>23</v>
      </c>
    </row>
    <row r="243" spans="1:14" x14ac:dyDescent="0.8">
      <c r="A243" s="5" t="s">
        <v>28</v>
      </c>
      <c r="B243" s="14">
        <v>0.01</v>
      </c>
      <c r="C243" s="15" t="s">
        <v>34</v>
      </c>
    </row>
    <row r="244" spans="1:14" x14ac:dyDescent="0.8">
      <c r="A244" s="12" t="s">
        <v>29</v>
      </c>
    </row>
    <row r="245" spans="1:14" x14ac:dyDescent="0.8">
      <c r="A245" s="5" t="s">
        <v>92</v>
      </c>
      <c r="B245" s="17">
        <f>B181</f>
        <v>0</v>
      </c>
      <c r="C245" s="6" t="s">
        <v>16</v>
      </c>
    </row>
    <row r="246" spans="1:14" x14ac:dyDescent="0.8">
      <c r="A246" s="5" t="s">
        <v>90</v>
      </c>
      <c r="B246" s="17">
        <f>B199</f>
        <v>9.3962225614136349E-2</v>
      </c>
      <c r="C246" s="6" t="s">
        <v>16</v>
      </c>
    </row>
    <row r="247" spans="1:14" x14ac:dyDescent="0.8">
      <c r="A247" s="5" t="s">
        <v>92</v>
      </c>
      <c r="B247" s="17">
        <f>B208</f>
        <v>0.01</v>
      </c>
      <c r="C247" s="6" t="s">
        <v>16</v>
      </c>
    </row>
    <row r="248" spans="1:14" x14ac:dyDescent="0.8">
      <c r="A248" s="5" t="s">
        <v>123</v>
      </c>
      <c r="B248" s="17">
        <f>B221</f>
        <v>0.37636578641287594</v>
      </c>
      <c r="C248" s="6" t="s">
        <v>16</v>
      </c>
    </row>
    <row r="249" spans="1:14" x14ac:dyDescent="0.8">
      <c r="A249" s="5" t="s">
        <v>95</v>
      </c>
      <c r="B249" s="17">
        <f>B234</f>
        <v>7.7532255640395509E-2</v>
      </c>
      <c r="C249" s="6" t="s">
        <v>16</v>
      </c>
    </row>
    <row r="250" spans="1:14" x14ac:dyDescent="0.8">
      <c r="A250" s="5" t="s">
        <v>92</v>
      </c>
      <c r="B250" s="17">
        <f>B243</f>
        <v>0.01</v>
      </c>
      <c r="C250" s="6" t="s">
        <v>16</v>
      </c>
    </row>
    <row r="251" spans="1:14" x14ac:dyDescent="0.8">
      <c r="A251" s="5" t="s">
        <v>96</v>
      </c>
      <c r="B251" s="23">
        <f>SUM(B245:B250)</f>
        <v>0.56786026766740783</v>
      </c>
      <c r="C251" s="19" t="s">
        <v>16</v>
      </c>
    </row>
    <row r="252" spans="1:14" s="11" customFormat="1" x14ac:dyDescent="0.8">
      <c r="A252" s="8" t="s">
        <v>124</v>
      </c>
      <c r="B252" s="9"/>
      <c r="C252" s="10"/>
      <c r="D252" s="10"/>
      <c r="E252" s="10"/>
      <c r="F252" s="10"/>
      <c r="G252" s="10"/>
      <c r="H252" s="10"/>
      <c r="I252" s="10"/>
      <c r="J252" s="10"/>
      <c r="K252" s="10"/>
      <c r="L252" s="10"/>
      <c r="M252" s="10"/>
      <c r="N252" s="10"/>
    </row>
    <row r="253" spans="1:14" x14ac:dyDescent="0.8">
      <c r="A253" s="22" t="s">
        <v>125</v>
      </c>
      <c r="B253" s="13"/>
      <c r="C253" s="6"/>
    </row>
    <row r="254" spans="1:14" x14ac:dyDescent="0.8">
      <c r="A254" s="5" t="s">
        <v>6</v>
      </c>
      <c r="B254" s="13">
        <f>1050*'[2]Design Info, Unit conversions'!$D$56</f>
        <v>41.338582677000005</v>
      </c>
      <c r="C254" s="6" t="s">
        <v>7</v>
      </c>
    </row>
    <row r="255" spans="1:14" x14ac:dyDescent="0.8">
      <c r="A255" s="5" t="s">
        <v>8</v>
      </c>
      <c r="B255" s="13">
        <f>1400*'[2]Design Info, Unit conversions'!$D$56</f>
        <v>55.118110236</v>
      </c>
      <c r="C255" s="6" t="s">
        <v>7</v>
      </c>
    </row>
    <row r="256" spans="1:14" x14ac:dyDescent="0.8">
      <c r="A256" s="5" t="s">
        <v>9</v>
      </c>
      <c r="B256" s="13">
        <f>(B255*B254)/144</f>
        <v>15.82294831243671</v>
      </c>
      <c r="C256" s="6" t="s">
        <v>10</v>
      </c>
    </row>
    <row r="257" spans="1:3" x14ac:dyDescent="0.8">
      <c r="A257" s="5" t="s">
        <v>11</v>
      </c>
      <c r="B257" s="13">
        <f>B216</f>
        <v>46661.975426066005</v>
      </c>
      <c r="C257" s="6" t="s">
        <v>72</v>
      </c>
    </row>
    <row r="258" spans="1:3" x14ac:dyDescent="0.8">
      <c r="A258" s="5" t="s">
        <v>13</v>
      </c>
      <c r="B258" s="13">
        <f>B257/B256</f>
        <v>2949.0063738241543</v>
      </c>
      <c r="C258" s="6" t="s">
        <v>14</v>
      </c>
    </row>
    <row r="259" spans="1:3" x14ac:dyDescent="0.8">
      <c r="A259" s="5" t="s">
        <v>15</v>
      </c>
      <c r="B259" s="7">
        <f>(B258/4005)^2</f>
        <v>0.54218360587689163</v>
      </c>
      <c r="C259" s="6" t="s">
        <v>16</v>
      </c>
    </row>
    <row r="260" spans="1:3" x14ac:dyDescent="0.8">
      <c r="A260" s="5" t="s">
        <v>74</v>
      </c>
      <c r="B260" s="7">
        <v>0.18</v>
      </c>
      <c r="C260" s="6" t="s">
        <v>126</v>
      </c>
    </row>
    <row r="261" spans="1:3" x14ac:dyDescent="0.8">
      <c r="A261" s="5" t="s">
        <v>76</v>
      </c>
      <c r="B261" s="14">
        <f>B260*B259</f>
        <v>9.7593049057840484E-2</v>
      </c>
      <c r="C261" s="15" t="s">
        <v>120</v>
      </c>
    </row>
    <row r="262" spans="1:3" x14ac:dyDescent="0.8">
      <c r="A262" s="22" t="s">
        <v>98</v>
      </c>
      <c r="B262" s="13"/>
      <c r="C262" s="6"/>
    </row>
    <row r="263" spans="1:3" x14ac:dyDescent="0.8">
      <c r="A263" s="5" t="s">
        <v>6</v>
      </c>
      <c r="B263" s="13">
        <f>1050*'[2]Design Info, Unit conversions'!$D$56</f>
        <v>41.338582677000005</v>
      </c>
      <c r="C263" s="6" t="s">
        <v>7</v>
      </c>
    </row>
    <row r="264" spans="1:3" x14ac:dyDescent="0.8">
      <c r="A264" s="5" t="s">
        <v>8</v>
      </c>
      <c r="B264" s="13">
        <f>1400*'[2]Design Info, Unit conversions'!$D$56</f>
        <v>55.118110236</v>
      </c>
      <c r="C264" s="6" t="s">
        <v>7</v>
      </c>
    </row>
    <row r="265" spans="1:3" x14ac:dyDescent="0.8">
      <c r="A265" s="5" t="s">
        <v>9</v>
      </c>
      <c r="B265" s="13">
        <f>(B264*B263)/144</f>
        <v>15.82294831243671</v>
      </c>
      <c r="C265" s="6" t="s">
        <v>10</v>
      </c>
    </row>
    <row r="266" spans="1:3" x14ac:dyDescent="0.8">
      <c r="A266" s="5" t="s">
        <v>11</v>
      </c>
      <c r="B266" s="13">
        <f>B257</f>
        <v>46661.975426066005</v>
      </c>
      <c r="C266" s="6" t="s">
        <v>72</v>
      </c>
    </row>
    <row r="267" spans="1:3" x14ac:dyDescent="0.8">
      <c r="A267" s="5" t="s">
        <v>13</v>
      </c>
      <c r="B267" s="13">
        <f>B266/B265</f>
        <v>2949.0063738241543</v>
      </c>
      <c r="C267" s="6" t="s">
        <v>14</v>
      </c>
    </row>
    <row r="268" spans="1:3" x14ac:dyDescent="0.8">
      <c r="A268" s="5" t="s">
        <v>15</v>
      </c>
      <c r="B268" s="7">
        <f>(B267/4005)^2</f>
        <v>0.54218360587689163</v>
      </c>
      <c r="C268" s="6" t="s">
        <v>16</v>
      </c>
    </row>
    <row r="269" spans="1:3" x14ac:dyDescent="0.8">
      <c r="A269" s="5" t="s">
        <v>74</v>
      </c>
      <c r="B269" s="7">
        <v>0.11</v>
      </c>
      <c r="C269" s="6" t="s">
        <v>75</v>
      </c>
    </row>
    <row r="270" spans="1:3" x14ac:dyDescent="0.8">
      <c r="A270" s="5" t="s">
        <v>76</v>
      </c>
      <c r="B270" s="14">
        <f>B269*B268</f>
        <v>5.9640196646458081E-2</v>
      </c>
      <c r="C270" s="15" t="s">
        <v>77</v>
      </c>
    </row>
    <row r="271" spans="1:3" x14ac:dyDescent="0.8">
      <c r="A271" s="12" t="s">
        <v>29</v>
      </c>
    </row>
    <row r="272" spans="1:3" x14ac:dyDescent="0.8">
      <c r="A272" s="5" t="s">
        <v>127</v>
      </c>
      <c r="B272" s="17">
        <f>B261</f>
        <v>9.7593049057840484E-2</v>
      </c>
      <c r="C272" s="6" t="s">
        <v>16</v>
      </c>
    </row>
    <row r="273" spans="1:14" x14ac:dyDescent="0.8">
      <c r="A273" s="5" t="s">
        <v>128</v>
      </c>
      <c r="B273" s="17">
        <f>B270</f>
        <v>5.9640196646458081E-2</v>
      </c>
      <c r="C273" s="6" t="s">
        <v>16</v>
      </c>
    </row>
    <row r="274" spans="1:14" x14ac:dyDescent="0.8">
      <c r="A274" s="5" t="s">
        <v>96</v>
      </c>
      <c r="B274" s="23">
        <f>SUM(B272:B273)</f>
        <v>0.15723324570429856</v>
      </c>
      <c r="C274" s="19" t="s">
        <v>16</v>
      </c>
    </row>
    <row r="275" spans="1:14" s="11" customFormat="1" x14ac:dyDescent="0.8">
      <c r="A275" s="8" t="s">
        <v>129</v>
      </c>
      <c r="B275" s="9"/>
      <c r="C275" s="10"/>
      <c r="D275" s="10"/>
      <c r="E275" s="10"/>
      <c r="F275" s="10"/>
      <c r="G275" s="10"/>
      <c r="H275" s="10"/>
      <c r="I275" s="10"/>
      <c r="J275" s="10"/>
      <c r="K275" s="10"/>
      <c r="L275" s="10"/>
      <c r="M275" s="10"/>
      <c r="N275" s="10"/>
    </row>
    <row r="276" spans="1:14" x14ac:dyDescent="0.8">
      <c r="A276" s="12" t="s">
        <v>130</v>
      </c>
      <c r="B276" s="13"/>
      <c r="C276" s="6"/>
    </row>
    <row r="277" spans="1:14" x14ac:dyDescent="0.8">
      <c r="A277" s="5" t="s">
        <v>6</v>
      </c>
      <c r="B277" s="13">
        <f>1050*'[2]Design Info, Unit conversions'!$D$56</f>
        <v>41.338582677000005</v>
      </c>
      <c r="C277" s="6" t="s">
        <v>7</v>
      </c>
    </row>
    <row r="278" spans="1:14" x14ac:dyDescent="0.8">
      <c r="A278" s="5" t="s">
        <v>8</v>
      </c>
      <c r="B278" s="13">
        <f>1400*'[2]Design Info, Unit conversions'!$D$56</f>
        <v>55.118110236</v>
      </c>
      <c r="C278" s="6" t="s">
        <v>7</v>
      </c>
    </row>
    <row r="279" spans="1:14" x14ac:dyDescent="0.8">
      <c r="A279" s="5" t="s">
        <v>9</v>
      </c>
      <c r="B279" s="13">
        <f>(B278*B277)/144</f>
        <v>15.82294831243671</v>
      </c>
      <c r="C279" s="6" t="s">
        <v>10</v>
      </c>
    </row>
    <row r="280" spans="1:14" x14ac:dyDescent="0.8">
      <c r="A280" s="5" t="s">
        <v>21</v>
      </c>
      <c r="B280" s="13">
        <f>B266</f>
        <v>46661.975426066005</v>
      </c>
      <c r="C280" s="6" t="s">
        <v>33</v>
      </c>
    </row>
    <row r="281" spans="1:14" x14ac:dyDescent="0.8">
      <c r="A281" s="5" t="s">
        <v>13</v>
      </c>
      <c r="B281" s="13">
        <f>B280/B279</f>
        <v>2949.0063738241543</v>
      </c>
      <c r="C281" s="6" t="s">
        <v>14</v>
      </c>
    </row>
    <row r="282" spans="1:14" x14ac:dyDescent="0.8">
      <c r="A282" s="5" t="s">
        <v>15</v>
      </c>
      <c r="B282" s="7">
        <f>(B281/4005)^2</f>
        <v>0.54218360587689163</v>
      </c>
      <c r="C282" s="6" t="s">
        <v>16</v>
      </c>
    </row>
    <row r="283" spans="1:14" x14ac:dyDescent="0.8">
      <c r="A283" s="5" t="s">
        <v>22</v>
      </c>
      <c r="B283" s="7">
        <f>'[2]Floor Elevations'!E23-'[2]Floor Elevations'!E13</f>
        <v>196.52230971050008</v>
      </c>
      <c r="C283" s="6" t="s">
        <v>23</v>
      </c>
    </row>
    <row r="284" spans="1:14" x14ac:dyDescent="0.8">
      <c r="A284" s="5" t="s">
        <v>28</v>
      </c>
      <c r="B284" s="14">
        <v>0.36</v>
      </c>
      <c r="C284" s="15" t="s">
        <v>34</v>
      </c>
    </row>
    <row r="285" spans="1:14" x14ac:dyDescent="0.8">
      <c r="A285" s="22" t="s">
        <v>131</v>
      </c>
      <c r="B285" s="13"/>
      <c r="C285" s="6"/>
    </row>
    <row r="286" spans="1:14" x14ac:dyDescent="0.8">
      <c r="A286" s="5" t="s">
        <v>6</v>
      </c>
      <c r="B286" s="13">
        <f>B277</f>
        <v>41.338582677000005</v>
      </c>
      <c r="C286" s="6" t="s">
        <v>7</v>
      </c>
    </row>
    <row r="287" spans="1:14" x14ac:dyDescent="0.8">
      <c r="A287" s="5" t="s">
        <v>8</v>
      </c>
      <c r="B287" s="13">
        <f>B278</f>
        <v>55.118110236</v>
      </c>
      <c r="C287" s="6" t="s">
        <v>7</v>
      </c>
    </row>
    <row r="288" spans="1:14" x14ac:dyDescent="0.8">
      <c r="A288" s="5" t="s">
        <v>9</v>
      </c>
      <c r="B288" s="13">
        <f>(B287*B286)/144</f>
        <v>15.82294831243671</v>
      </c>
      <c r="C288" s="6" t="s">
        <v>10</v>
      </c>
    </row>
    <row r="289" spans="1:3" x14ac:dyDescent="0.8">
      <c r="A289" s="5" t="s">
        <v>11</v>
      </c>
      <c r="B289" s="13">
        <f>B280</f>
        <v>46661.975426066005</v>
      </c>
      <c r="C289" s="6" t="s">
        <v>72</v>
      </c>
    </row>
    <row r="290" spans="1:3" x14ac:dyDescent="0.8">
      <c r="A290" s="5" t="s">
        <v>13</v>
      </c>
      <c r="B290" s="13">
        <f>B289/B288</f>
        <v>2949.0063738241543</v>
      </c>
      <c r="C290" s="6" t="s">
        <v>14</v>
      </c>
    </row>
    <row r="291" spans="1:3" x14ac:dyDescent="0.8">
      <c r="A291" s="5" t="s">
        <v>15</v>
      </c>
      <c r="B291" s="7">
        <f>(B290/4005)^2</f>
        <v>0.54218360587689163</v>
      </c>
      <c r="C291" s="6" t="s">
        <v>16</v>
      </c>
    </row>
    <row r="292" spans="1:3" x14ac:dyDescent="0.8">
      <c r="A292" s="5" t="s">
        <v>74</v>
      </c>
      <c r="B292" s="7">
        <v>0.08</v>
      </c>
      <c r="C292" s="6" t="s">
        <v>132</v>
      </c>
    </row>
    <row r="293" spans="1:3" x14ac:dyDescent="0.8">
      <c r="A293" s="5" t="s">
        <v>76</v>
      </c>
      <c r="B293" s="14">
        <f>B292*B291</f>
        <v>4.3374688470151329E-2</v>
      </c>
      <c r="C293" s="15" t="s">
        <v>77</v>
      </c>
    </row>
    <row r="294" spans="1:3" x14ac:dyDescent="0.8">
      <c r="A294" s="22" t="s">
        <v>133</v>
      </c>
      <c r="B294" s="13"/>
      <c r="C294" s="6"/>
    </row>
    <row r="295" spans="1:3" x14ac:dyDescent="0.8">
      <c r="A295" s="5" t="s">
        <v>6</v>
      </c>
      <c r="B295" s="13">
        <f>B286</f>
        <v>41.338582677000005</v>
      </c>
      <c r="C295" s="6" t="s">
        <v>7</v>
      </c>
    </row>
    <row r="296" spans="1:3" x14ac:dyDescent="0.8">
      <c r="A296" s="5" t="s">
        <v>8</v>
      </c>
      <c r="B296" s="13">
        <f>B287</f>
        <v>55.118110236</v>
      </c>
      <c r="C296" s="6" t="s">
        <v>7</v>
      </c>
    </row>
    <row r="297" spans="1:3" x14ac:dyDescent="0.8">
      <c r="A297" s="5" t="s">
        <v>9</v>
      </c>
      <c r="B297" s="13">
        <f>(B296*B295)/144</f>
        <v>15.82294831243671</v>
      </c>
      <c r="C297" s="6" t="s">
        <v>10</v>
      </c>
    </row>
    <row r="298" spans="1:3" x14ac:dyDescent="0.8">
      <c r="A298" s="5" t="s">
        <v>11</v>
      </c>
      <c r="B298" s="13">
        <f>B289</f>
        <v>46661.975426066005</v>
      </c>
      <c r="C298" s="6" t="s">
        <v>72</v>
      </c>
    </row>
    <row r="299" spans="1:3" x14ac:dyDescent="0.8">
      <c r="A299" s="5" t="s">
        <v>13</v>
      </c>
      <c r="B299" s="13">
        <f>B298/B297</f>
        <v>2949.0063738241543</v>
      </c>
      <c r="C299" s="6" t="s">
        <v>14</v>
      </c>
    </row>
    <row r="300" spans="1:3" x14ac:dyDescent="0.8">
      <c r="A300" s="5" t="s">
        <v>15</v>
      </c>
      <c r="B300" s="7">
        <f>(B299/4005)^2</f>
        <v>0.54218360587689163</v>
      </c>
      <c r="C300" s="6" t="s">
        <v>16</v>
      </c>
    </row>
    <row r="301" spans="1:3" x14ac:dyDescent="0.8">
      <c r="A301" s="5" t="s">
        <v>74</v>
      </c>
      <c r="B301" s="7">
        <v>0.08</v>
      </c>
      <c r="C301" s="6" t="s">
        <v>132</v>
      </c>
    </row>
    <row r="302" spans="1:3" x14ac:dyDescent="0.8">
      <c r="A302" s="5" t="s">
        <v>76</v>
      </c>
      <c r="B302" s="7">
        <f>B301*B300</f>
        <v>4.3374688470151329E-2</v>
      </c>
      <c r="C302" s="6" t="s">
        <v>77</v>
      </c>
    </row>
    <row r="303" spans="1:3" x14ac:dyDescent="0.8">
      <c r="A303" s="12" t="s">
        <v>134</v>
      </c>
      <c r="B303" s="13"/>
      <c r="C303" s="6"/>
    </row>
    <row r="304" spans="1:3" x14ac:dyDescent="0.8">
      <c r="A304" s="5" t="s">
        <v>81</v>
      </c>
      <c r="B304" s="13">
        <f>(1500*'[2]Design Info, Unit conversions'!$D$56)/12</f>
        <v>4.9212598425000005</v>
      </c>
      <c r="C304" s="6" t="s">
        <v>23</v>
      </c>
    </row>
    <row r="305" spans="1:14" x14ac:dyDescent="0.8">
      <c r="A305" s="5" t="s">
        <v>82</v>
      </c>
      <c r="B305" s="7">
        <v>1.3</v>
      </c>
      <c r="C305" s="6" t="s">
        <v>83</v>
      </c>
    </row>
    <row r="306" spans="1:14" x14ac:dyDescent="0.8">
      <c r="A306" s="5" t="s">
        <v>116</v>
      </c>
      <c r="B306" s="14">
        <f>B305*B302</f>
        <v>5.6387095011196729E-2</v>
      </c>
      <c r="C306" s="15" t="s">
        <v>77</v>
      </c>
    </row>
    <row r="307" spans="1:14" x14ac:dyDescent="0.8">
      <c r="A307" s="12" t="s">
        <v>29</v>
      </c>
    </row>
    <row r="308" spans="1:14" x14ac:dyDescent="0.8">
      <c r="A308" s="5" t="s">
        <v>92</v>
      </c>
      <c r="B308" s="17">
        <f>B284</f>
        <v>0.36</v>
      </c>
      <c r="C308" s="6" t="s">
        <v>16</v>
      </c>
    </row>
    <row r="309" spans="1:14" x14ac:dyDescent="0.8">
      <c r="A309" s="5" t="s">
        <v>135</v>
      </c>
      <c r="B309" s="17">
        <f>B293</f>
        <v>4.3374688470151329E-2</v>
      </c>
      <c r="C309" s="6" t="s">
        <v>16</v>
      </c>
    </row>
    <row r="310" spans="1:14" x14ac:dyDescent="0.8">
      <c r="A310" s="5" t="s">
        <v>136</v>
      </c>
      <c r="B310" s="17">
        <f>B306</f>
        <v>5.6387095011196729E-2</v>
      </c>
      <c r="C310" s="6" t="s">
        <v>16</v>
      </c>
    </row>
    <row r="311" spans="1:14" x14ac:dyDescent="0.8">
      <c r="A311" s="5" t="s">
        <v>96</v>
      </c>
      <c r="B311" s="23">
        <f>SUM(B308:B310)</f>
        <v>0.45976178348134805</v>
      </c>
      <c r="C311" s="19" t="s">
        <v>16</v>
      </c>
    </row>
    <row r="312" spans="1:14" s="11" customFormat="1" x14ac:dyDescent="0.8">
      <c r="A312" s="8" t="s">
        <v>137</v>
      </c>
      <c r="B312" s="9"/>
      <c r="C312" s="10"/>
      <c r="D312" s="10"/>
      <c r="E312" s="10"/>
      <c r="F312" s="10"/>
      <c r="G312" s="10"/>
      <c r="H312" s="10"/>
      <c r="I312" s="10"/>
      <c r="J312" s="10"/>
      <c r="K312" s="10"/>
      <c r="L312" s="10"/>
      <c r="M312" s="10"/>
      <c r="N312" s="10"/>
    </row>
    <row r="313" spans="1:14" x14ac:dyDescent="0.8">
      <c r="A313" s="12" t="s">
        <v>138</v>
      </c>
      <c r="B313" s="13"/>
      <c r="C313" s="6"/>
    </row>
    <row r="314" spans="1:14" x14ac:dyDescent="0.8">
      <c r="A314" s="5" t="s">
        <v>139</v>
      </c>
      <c r="B314" s="13">
        <f>1050*'[2]Design Info, Unit conversions'!$D$56</f>
        <v>41.338582677000005</v>
      </c>
      <c r="C314" s="6" t="s">
        <v>7</v>
      </c>
    </row>
    <row r="315" spans="1:14" x14ac:dyDescent="0.8">
      <c r="A315" s="5" t="s">
        <v>140</v>
      </c>
      <c r="B315" s="13">
        <f>1400*'[2]Design Info, Unit conversions'!$D$56</f>
        <v>55.118110236</v>
      </c>
      <c r="C315" s="6" t="s">
        <v>7</v>
      </c>
    </row>
    <row r="316" spans="1:14" x14ac:dyDescent="0.8">
      <c r="A316" s="5" t="s">
        <v>141</v>
      </c>
      <c r="B316" s="13">
        <f>(B315*B314)/144</f>
        <v>15.82294831243671</v>
      </c>
      <c r="C316" s="6" t="s">
        <v>10</v>
      </c>
    </row>
    <row r="317" spans="1:14" x14ac:dyDescent="0.8">
      <c r="A317" s="5" t="s">
        <v>142</v>
      </c>
      <c r="B317" s="13">
        <f>B298</f>
        <v>46661.975426066005</v>
      </c>
      <c r="C317" s="6" t="s">
        <v>72</v>
      </c>
    </row>
    <row r="318" spans="1:14" x14ac:dyDescent="0.8">
      <c r="A318" s="5" t="s">
        <v>143</v>
      </c>
      <c r="B318" s="13">
        <f>B317/B316</f>
        <v>2949.0063738241543</v>
      </c>
      <c r="C318" s="6" t="s">
        <v>14</v>
      </c>
    </row>
    <row r="319" spans="1:14" x14ac:dyDescent="0.8">
      <c r="A319" s="5" t="s">
        <v>144</v>
      </c>
      <c r="B319" s="7">
        <f>(B318/4005)^2</f>
        <v>0.54218360587689163</v>
      </c>
      <c r="C319" s="6" t="s">
        <v>16</v>
      </c>
    </row>
    <row r="320" spans="1:14" x14ac:dyDescent="0.8">
      <c r="A320" s="5" t="s">
        <v>145</v>
      </c>
      <c r="B320" s="13">
        <f>1050*'[2]Design Info, Unit conversions'!$D$56</f>
        <v>41.338582677000005</v>
      </c>
      <c r="C320" s="6" t="s">
        <v>7</v>
      </c>
    </row>
    <row r="321" spans="1:3" x14ac:dyDescent="0.8">
      <c r="A321" s="5" t="s">
        <v>146</v>
      </c>
      <c r="B321" s="13">
        <f>1400*'[2]Design Info, Unit conversions'!$D$56</f>
        <v>55.118110236</v>
      </c>
      <c r="C321" s="6" t="s">
        <v>7</v>
      </c>
    </row>
    <row r="322" spans="1:3" x14ac:dyDescent="0.8">
      <c r="A322" s="5" t="s">
        <v>147</v>
      </c>
      <c r="B322" s="13">
        <f>(B321*B320)/144</f>
        <v>15.82294831243671</v>
      </c>
      <c r="C322" s="6" t="s">
        <v>10</v>
      </c>
    </row>
    <row r="323" spans="1:3" x14ac:dyDescent="0.8">
      <c r="A323" s="5" t="s">
        <v>148</v>
      </c>
      <c r="B323" s="13">
        <f>B317-B329</f>
        <v>43057.760540963005</v>
      </c>
      <c r="C323" s="6" t="s">
        <v>72</v>
      </c>
    </row>
    <row r="324" spans="1:3" x14ac:dyDescent="0.8">
      <c r="A324" s="5" t="s">
        <v>149</v>
      </c>
      <c r="B324" s="13">
        <f>B323/B322</f>
        <v>2721.2223468568086</v>
      </c>
      <c r="C324" s="6" t="s">
        <v>14</v>
      </c>
    </row>
    <row r="325" spans="1:3" x14ac:dyDescent="0.8">
      <c r="A325" s="5" t="s">
        <v>150</v>
      </c>
      <c r="B325" s="7">
        <f>(B324/4005)^2</f>
        <v>0.46166081792471497</v>
      </c>
      <c r="C325" s="6" t="s">
        <v>16</v>
      </c>
    </row>
    <row r="326" spans="1:3" x14ac:dyDescent="0.8">
      <c r="A326" s="5" t="s">
        <v>151</v>
      </c>
      <c r="B326" s="13">
        <f>900*'[2]Design Info, Unit conversions'!$D$56</f>
        <v>35.433070866000001</v>
      </c>
      <c r="C326" s="6" t="s">
        <v>7</v>
      </c>
    </row>
    <row r="327" spans="1:3" x14ac:dyDescent="0.8">
      <c r="A327" s="5" t="s">
        <v>152</v>
      </c>
      <c r="B327" s="13">
        <f>425*'[2]Design Info, Unit conversions'!$D$56</f>
        <v>16.7322834645</v>
      </c>
      <c r="C327" s="6" t="s">
        <v>7</v>
      </c>
    </row>
    <row r="328" spans="1:3" x14ac:dyDescent="0.8">
      <c r="A328" s="5" t="s">
        <v>153</v>
      </c>
      <c r="B328" s="13">
        <f>(B327*B326)/144</f>
        <v>4.117195734358531</v>
      </c>
      <c r="C328" s="6" t="s">
        <v>10</v>
      </c>
    </row>
    <row r="329" spans="1:3" x14ac:dyDescent="0.8">
      <c r="A329" s="5" t="s">
        <v>154</v>
      </c>
      <c r="B329" s="13">
        <f>'[2]Terminal Units'!F131</f>
        <v>3604.2148851030001</v>
      </c>
      <c r="C329" s="6" t="s">
        <v>72</v>
      </c>
    </row>
    <row r="330" spans="1:3" x14ac:dyDescent="0.8">
      <c r="A330" s="5" t="s">
        <v>155</v>
      </c>
      <c r="B330" s="13">
        <f>B329/B328</f>
        <v>875.40528010979915</v>
      </c>
      <c r="C330" s="6" t="s">
        <v>14</v>
      </c>
    </row>
    <row r="331" spans="1:3" x14ac:dyDescent="0.8">
      <c r="A331" s="5" t="s">
        <v>156</v>
      </c>
      <c r="B331" s="7">
        <f>(B330/4005)^2</f>
        <v>4.7776384665492472E-2</v>
      </c>
      <c r="C331" s="6" t="s">
        <v>16</v>
      </c>
    </row>
    <row r="332" spans="1:3" x14ac:dyDescent="0.8">
      <c r="A332" s="5" t="s">
        <v>157</v>
      </c>
      <c r="B332" s="7">
        <v>0.05</v>
      </c>
      <c r="C332" s="6" t="s">
        <v>158</v>
      </c>
    </row>
    <row r="333" spans="1:3" x14ac:dyDescent="0.8">
      <c r="A333" s="5" t="s">
        <v>159</v>
      </c>
      <c r="B333" s="14">
        <f>B332*B325</f>
        <v>2.3083040896235751E-2</v>
      </c>
      <c r="C333" s="15" t="s">
        <v>120</v>
      </c>
    </row>
    <row r="334" spans="1:3" x14ac:dyDescent="0.8">
      <c r="A334" s="5" t="s">
        <v>160</v>
      </c>
      <c r="B334" s="7">
        <v>1.38</v>
      </c>
      <c r="C334" s="6" t="s">
        <v>158</v>
      </c>
    </row>
    <row r="335" spans="1:3" x14ac:dyDescent="0.8">
      <c r="A335" s="5" t="s">
        <v>161</v>
      </c>
      <c r="B335" s="25">
        <f>B334*B331</f>
        <v>6.5931410838379612E-2</v>
      </c>
      <c r="C335" s="26" t="s">
        <v>120</v>
      </c>
    </row>
    <row r="336" spans="1:3" x14ac:dyDescent="0.8">
      <c r="A336" s="12" t="s">
        <v>89</v>
      </c>
      <c r="B336" s="13"/>
      <c r="C336" s="6"/>
    </row>
    <row r="337" spans="1:14" x14ac:dyDescent="0.8">
      <c r="A337" s="5" t="s">
        <v>6</v>
      </c>
      <c r="B337" s="13">
        <f>B320</f>
        <v>41.338582677000005</v>
      </c>
      <c r="C337" s="6" t="s">
        <v>7</v>
      </c>
    </row>
    <row r="338" spans="1:14" x14ac:dyDescent="0.8">
      <c r="A338" s="5" t="s">
        <v>8</v>
      </c>
      <c r="B338" s="13">
        <f>B321</f>
        <v>55.118110236</v>
      </c>
      <c r="C338" s="6" t="s">
        <v>7</v>
      </c>
    </row>
    <row r="339" spans="1:14" x14ac:dyDescent="0.8">
      <c r="A339" s="5" t="s">
        <v>9</v>
      </c>
      <c r="B339" s="13">
        <f>(B338*B337)/144</f>
        <v>15.82294831243671</v>
      </c>
      <c r="C339" s="6" t="s">
        <v>10</v>
      </c>
    </row>
    <row r="340" spans="1:14" x14ac:dyDescent="0.8">
      <c r="A340" s="5" t="s">
        <v>21</v>
      </c>
      <c r="B340" s="13">
        <f>B323</f>
        <v>43057.760540963005</v>
      </c>
      <c r="C340" s="6" t="s">
        <v>33</v>
      </c>
    </row>
    <row r="341" spans="1:14" x14ac:dyDescent="0.8">
      <c r="A341" s="5" t="s">
        <v>13</v>
      </c>
      <c r="B341" s="13">
        <f>B340/B339</f>
        <v>2721.2223468568086</v>
      </c>
      <c r="C341" s="6" t="s">
        <v>14</v>
      </c>
    </row>
    <row r="342" spans="1:14" x14ac:dyDescent="0.8">
      <c r="A342" s="5" t="s">
        <v>15</v>
      </c>
      <c r="B342" s="7">
        <f>(B341/4005)^2</f>
        <v>0.46166081792471497</v>
      </c>
      <c r="C342" s="6" t="s">
        <v>16</v>
      </c>
    </row>
    <row r="343" spans="1:14" x14ac:dyDescent="0.8">
      <c r="A343" s="5" t="s">
        <v>22</v>
      </c>
      <c r="B343" s="7">
        <f>'[2]Floor Elevations'!E12-'[2]Floor Elevations'!E11</f>
        <v>20.341207349000001</v>
      </c>
      <c r="C343" s="6" t="s">
        <v>23</v>
      </c>
    </row>
    <row r="344" spans="1:14" x14ac:dyDescent="0.8">
      <c r="A344" s="5" t="s">
        <v>28</v>
      </c>
      <c r="B344" s="14">
        <v>0.03</v>
      </c>
      <c r="C344" s="15" t="s">
        <v>34</v>
      </c>
    </row>
    <row r="345" spans="1:14" x14ac:dyDescent="0.8">
      <c r="A345" s="12" t="s">
        <v>29</v>
      </c>
    </row>
    <row r="346" spans="1:14" x14ac:dyDescent="0.8">
      <c r="A346" s="5" t="s">
        <v>162</v>
      </c>
      <c r="B346" s="17">
        <f>B333</f>
        <v>2.3083040896235751E-2</v>
      </c>
      <c r="C346" s="6" t="s">
        <v>16</v>
      </c>
    </row>
    <row r="347" spans="1:14" x14ac:dyDescent="0.8">
      <c r="A347" s="5" t="s">
        <v>92</v>
      </c>
      <c r="B347" s="17">
        <f>B344</f>
        <v>0.03</v>
      </c>
      <c r="C347" s="6" t="s">
        <v>16</v>
      </c>
    </row>
    <row r="348" spans="1:14" x14ac:dyDescent="0.8">
      <c r="A348" s="5" t="s">
        <v>96</v>
      </c>
      <c r="B348" s="23">
        <f>SUM(B346:B347)</f>
        <v>5.308304089623575E-2</v>
      </c>
      <c r="C348" s="19" t="s">
        <v>16</v>
      </c>
    </row>
    <row r="349" spans="1:14" s="11" customFormat="1" x14ac:dyDescent="0.8">
      <c r="A349" s="8" t="s">
        <v>163</v>
      </c>
      <c r="B349" s="9"/>
      <c r="C349" s="10"/>
      <c r="D349" s="10"/>
      <c r="E349" s="10"/>
      <c r="F349" s="10"/>
      <c r="G349" s="10"/>
      <c r="H349" s="10"/>
      <c r="I349" s="10"/>
      <c r="J349" s="10"/>
      <c r="K349" s="10"/>
      <c r="L349" s="10"/>
      <c r="M349" s="10"/>
      <c r="N349" s="10"/>
    </row>
    <row r="350" spans="1:14" x14ac:dyDescent="0.8">
      <c r="A350" s="12" t="s">
        <v>138</v>
      </c>
      <c r="B350" s="13"/>
      <c r="C350" s="6"/>
    </row>
    <row r="351" spans="1:14" x14ac:dyDescent="0.8">
      <c r="A351" s="5" t="s">
        <v>139</v>
      </c>
      <c r="B351" s="13">
        <f>1050*'[2]Design Info, Unit conversions'!$D$56</f>
        <v>41.338582677000005</v>
      </c>
      <c r="C351" s="6" t="s">
        <v>7</v>
      </c>
    </row>
    <row r="352" spans="1:14" x14ac:dyDescent="0.8">
      <c r="A352" s="5" t="s">
        <v>140</v>
      </c>
      <c r="B352" s="13">
        <f>1400*'[2]Design Info, Unit conversions'!$D$56</f>
        <v>55.118110236</v>
      </c>
      <c r="C352" s="6" t="s">
        <v>7</v>
      </c>
    </row>
    <row r="353" spans="1:3" x14ac:dyDescent="0.8">
      <c r="A353" s="5" t="s">
        <v>141</v>
      </c>
      <c r="B353" s="13">
        <f>(B352*B351)/144</f>
        <v>15.82294831243671</v>
      </c>
      <c r="C353" s="6" t="s">
        <v>10</v>
      </c>
    </row>
    <row r="354" spans="1:3" x14ac:dyDescent="0.8">
      <c r="A354" s="5" t="s">
        <v>142</v>
      </c>
      <c r="B354" s="13">
        <f>B340</f>
        <v>43057.760540963005</v>
      </c>
      <c r="C354" s="6" t="s">
        <v>72</v>
      </c>
    </row>
    <row r="355" spans="1:3" x14ac:dyDescent="0.8">
      <c r="A355" s="5" t="s">
        <v>143</v>
      </c>
      <c r="B355" s="13">
        <f>B354/B353</f>
        <v>2721.2223468568086</v>
      </c>
      <c r="C355" s="6" t="s">
        <v>14</v>
      </c>
    </row>
    <row r="356" spans="1:3" x14ac:dyDescent="0.8">
      <c r="A356" s="5" t="s">
        <v>144</v>
      </c>
      <c r="B356" s="7">
        <f>(B355/4005)^2</f>
        <v>0.46166081792471497</v>
      </c>
      <c r="C356" s="6" t="s">
        <v>16</v>
      </c>
    </row>
    <row r="357" spans="1:3" x14ac:dyDescent="0.8">
      <c r="A357" s="5" t="s">
        <v>145</v>
      </c>
      <c r="B357" s="13">
        <f>1050*'[2]Design Info, Unit conversions'!$D$56</f>
        <v>41.338582677000005</v>
      </c>
      <c r="C357" s="6" t="s">
        <v>7</v>
      </c>
    </row>
    <row r="358" spans="1:3" x14ac:dyDescent="0.8">
      <c r="A358" s="5" t="s">
        <v>146</v>
      </c>
      <c r="B358" s="13">
        <f>1400*'[2]Design Info, Unit conversions'!$D$56</f>
        <v>55.118110236</v>
      </c>
      <c r="C358" s="6" t="s">
        <v>7</v>
      </c>
    </row>
    <row r="359" spans="1:3" x14ac:dyDescent="0.8">
      <c r="A359" s="5" t="s">
        <v>147</v>
      </c>
      <c r="B359" s="13">
        <f>(B358*B357)/144</f>
        <v>15.82294831243671</v>
      </c>
      <c r="C359" s="6" t="s">
        <v>10</v>
      </c>
    </row>
    <row r="360" spans="1:3" x14ac:dyDescent="0.8">
      <c r="A360" s="5" t="s">
        <v>148</v>
      </c>
      <c r="B360" s="13">
        <f>B354-B366</f>
        <v>39398.454775782004</v>
      </c>
      <c r="C360" s="6" t="s">
        <v>72</v>
      </c>
    </row>
    <row r="361" spans="1:3" x14ac:dyDescent="0.8">
      <c r="A361" s="5" t="s">
        <v>149</v>
      </c>
      <c r="B361" s="13">
        <f>B360/B359</f>
        <v>2489.9566122462234</v>
      </c>
      <c r="C361" s="6" t="s">
        <v>14</v>
      </c>
    </row>
    <row r="362" spans="1:3" x14ac:dyDescent="0.8">
      <c r="A362" s="5" t="s">
        <v>150</v>
      </c>
      <c r="B362" s="7">
        <f>(B361/4005)^2</f>
        <v>0.38652582716477618</v>
      </c>
      <c r="C362" s="6" t="s">
        <v>16</v>
      </c>
    </row>
    <row r="363" spans="1:3" x14ac:dyDescent="0.8">
      <c r="A363" s="5" t="s">
        <v>151</v>
      </c>
      <c r="B363" s="13">
        <f>700*'[2]Design Info, Unit conversions'!$D$56</f>
        <v>27.559055118</v>
      </c>
      <c r="C363" s="6" t="s">
        <v>7</v>
      </c>
    </row>
    <row r="364" spans="1:3" x14ac:dyDescent="0.8">
      <c r="A364" s="5" t="s">
        <v>152</v>
      </c>
      <c r="B364" s="13">
        <f>550*'[2]Design Info, Unit conversions'!$D$56</f>
        <v>21.653543307</v>
      </c>
      <c r="C364" s="6" t="s">
        <v>7</v>
      </c>
    </row>
    <row r="365" spans="1:3" x14ac:dyDescent="0.8">
      <c r="A365" s="5" t="s">
        <v>153</v>
      </c>
      <c r="B365" s="13">
        <f>(B364*B363)/144</f>
        <v>4.1441055104000908</v>
      </c>
      <c r="C365" s="6" t="s">
        <v>10</v>
      </c>
    </row>
    <row r="366" spans="1:3" x14ac:dyDescent="0.8">
      <c r="A366" s="5" t="s">
        <v>154</v>
      </c>
      <c r="B366" s="13">
        <f>'[2]Terminal Units'!F130</f>
        <v>3659.3057651810004</v>
      </c>
      <c r="C366" s="6" t="s">
        <v>72</v>
      </c>
    </row>
    <row r="367" spans="1:3" x14ac:dyDescent="0.8">
      <c r="A367" s="5" t="s">
        <v>155</v>
      </c>
      <c r="B367" s="13">
        <f>B366/B365</f>
        <v>883.01462305859934</v>
      </c>
      <c r="C367" s="6" t="s">
        <v>14</v>
      </c>
    </row>
    <row r="368" spans="1:3" x14ac:dyDescent="0.8">
      <c r="A368" s="5" t="s">
        <v>156</v>
      </c>
      <c r="B368" s="7">
        <f>(B367/4005)^2</f>
        <v>4.8610574144075228E-2</v>
      </c>
      <c r="C368" s="6" t="s">
        <v>16</v>
      </c>
    </row>
    <row r="369" spans="1:3" x14ac:dyDescent="0.8">
      <c r="A369" s="5" t="s">
        <v>157</v>
      </c>
      <c r="B369" s="7">
        <v>0.06</v>
      </c>
      <c r="C369" s="6" t="s">
        <v>158</v>
      </c>
    </row>
    <row r="370" spans="1:3" x14ac:dyDescent="0.8">
      <c r="A370" s="5" t="s">
        <v>159</v>
      </c>
      <c r="B370" s="14">
        <f>B369*B362</f>
        <v>2.3191549629886569E-2</v>
      </c>
      <c r="C370" s="15" t="s">
        <v>120</v>
      </c>
    </row>
    <row r="371" spans="1:3" x14ac:dyDescent="0.8">
      <c r="A371" s="5" t="s">
        <v>160</v>
      </c>
      <c r="B371" s="7">
        <v>1.51</v>
      </c>
      <c r="C371" s="6" t="s">
        <v>158</v>
      </c>
    </row>
    <row r="372" spans="1:3" x14ac:dyDescent="0.8">
      <c r="A372" s="5" t="s">
        <v>161</v>
      </c>
      <c r="B372" s="25">
        <f>B371*B368</f>
        <v>7.3401966957553591E-2</v>
      </c>
      <c r="C372" s="26" t="s">
        <v>120</v>
      </c>
    </row>
    <row r="373" spans="1:3" x14ac:dyDescent="0.8">
      <c r="A373" s="12" t="s">
        <v>89</v>
      </c>
      <c r="B373" s="13"/>
      <c r="C373" s="6"/>
    </row>
    <row r="374" spans="1:3" x14ac:dyDescent="0.8">
      <c r="A374" s="5" t="s">
        <v>6</v>
      </c>
      <c r="B374" s="13">
        <f>B357</f>
        <v>41.338582677000005</v>
      </c>
      <c r="C374" s="6" t="s">
        <v>7</v>
      </c>
    </row>
    <row r="375" spans="1:3" x14ac:dyDescent="0.8">
      <c r="A375" s="5" t="s">
        <v>8</v>
      </c>
      <c r="B375" s="13">
        <f>B358</f>
        <v>55.118110236</v>
      </c>
      <c r="C375" s="6" t="s">
        <v>7</v>
      </c>
    </row>
    <row r="376" spans="1:3" x14ac:dyDescent="0.8">
      <c r="A376" s="5" t="s">
        <v>9</v>
      </c>
      <c r="B376" s="13">
        <f>(B375*B374)/144</f>
        <v>15.82294831243671</v>
      </c>
      <c r="C376" s="6" t="s">
        <v>10</v>
      </c>
    </row>
    <row r="377" spans="1:3" x14ac:dyDescent="0.8">
      <c r="A377" s="5" t="s">
        <v>21</v>
      </c>
      <c r="B377" s="13">
        <f>B360</f>
        <v>39398.454775782004</v>
      </c>
      <c r="C377" s="6" t="s">
        <v>33</v>
      </c>
    </row>
    <row r="378" spans="1:3" x14ac:dyDescent="0.8">
      <c r="A378" s="5" t="s">
        <v>13</v>
      </c>
      <c r="B378" s="13">
        <f>B377/B376</f>
        <v>2489.9566122462234</v>
      </c>
      <c r="C378" s="6" t="s">
        <v>14</v>
      </c>
    </row>
    <row r="379" spans="1:3" x14ac:dyDescent="0.8">
      <c r="A379" s="5" t="s">
        <v>15</v>
      </c>
      <c r="B379" s="7">
        <f>(B378/4005)^2</f>
        <v>0.38652582716477618</v>
      </c>
      <c r="C379" s="6" t="s">
        <v>16</v>
      </c>
    </row>
    <row r="380" spans="1:3" x14ac:dyDescent="0.8">
      <c r="A380" s="5" t="s">
        <v>22</v>
      </c>
      <c r="B380" s="7">
        <f>'[2]Floor Elevations'!E11-'[2]Floor Elevations'!E10</f>
        <v>20.341207349000001</v>
      </c>
      <c r="C380" s="6" t="s">
        <v>23</v>
      </c>
    </row>
    <row r="381" spans="1:3" x14ac:dyDescent="0.8">
      <c r="A381" s="5" t="s">
        <v>28</v>
      </c>
      <c r="B381" s="14">
        <v>0.03</v>
      </c>
      <c r="C381" s="15" t="s">
        <v>34</v>
      </c>
    </row>
    <row r="382" spans="1:3" x14ac:dyDescent="0.8">
      <c r="A382" s="12" t="s">
        <v>29</v>
      </c>
    </row>
    <row r="383" spans="1:3" x14ac:dyDescent="0.8">
      <c r="A383" s="5" t="s">
        <v>162</v>
      </c>
      <c r="B383" s="17">
        <f>B370</f>
        <v>2.3191549629886569E-2</v>
      </c>
      <c r="C383" s="6" t="s">
        <v>16</v>
      </c>
    </row>
    <row r="384" spans="1:3" x14ac:dyDescent="0.8">
      <c r="A384" s="5" t="s">
        <v>92</v>
      </c>
      <c r="B384" s="17">
        <f>B381</f>
        <v>0.03</v>
      </c>
      <c r="C384" s="6" t="s">
        <v>16</v>
      </c>
    </row>
    <row r="385" spans="1:14" x14ac:dyDescent="0.8">
      <c r="A385" s="5" t="s">
        <v>96</v>
      </c>
      <c r="B385" s="23">
        <f>SUM(B383:B384)</f>
        <v>5.3191549629886564E-2</v>
      </c>
      <c r="C385" s="19" t="s">
        <v>16</v>
      </c>
    </row>
    <row r="386" spans="1:14" s="11" customFormat="1" x14ac:dyDescent="0.8">
      <c r="A386" s="8" t="s">
        <v>164</v>
      </c>
      <c r="B386" s="9"/>
      <c r="C386" s="10"/>
      <c r="D386" s="10"/>
      <c r="E386" s="10"/>
      <c r="F386" s="10"/>
      <c r="G386" s="10"/>
      <c r="H386" s="10"/>
      <c r="I386" s="10"/>
      <c r="J386" s="10"/>
      <c r="K386" s="10"/>
      <c r="L386" s="10"/>
      <c r="M386" s="10"/>
      <c r="N386" s="10"/>
    </row>
    <row r="387" spans="1:14" x14ac:dyDescent="0.8">
      <c r="A387" s="12" t="s">
        <v>138</v>
      </c>
      <c r="B387" s="13"/>
      <c r="C387" s="6"/>
    </row>
    <row r="388" spans="1:14" x14ac:dyDescent="0.8">
      <c r="A388" s="5" t="s">
        <v>139</v>
      </c>
      <c r="B388" s="13">
        <f>1050*'[2]Design Info, Unit conversions'!$D$56</f>
        <v>41.338582677000005</v>
      </c>
      <c r="C388" s="6" t="s">
        <v>7</v>
      </c>
    </row>
    <row r="389" spans="1:14" x14ac:dyDescent="0.8">
      <c r="A389" s="5" t="s">
        <v>140</v>
      </c>
      <c r="B389" s="13">
        <f>1400*'[2]Design Info, Unit conversions'!$D$56</f>
        <v>55.118110236</v>
      </c>
      <c r="C389" s="6" t="s">
        <v>7</v>
      </c>
    </row>
    <row r="390" spans="1:14" x14ac:dyDescent="0.8">
      <c r="A390" s="5" t="s">
        <v>141</v>
      </c>
      <c r="B390" s="13">
        <f>(B389*B388)/144</f>
        <v>15.82294831243671</v>
      </c>
      <c r="C390" s="6" t="s">
        <v>10</v>
      </c>
    </row>
    <row r="391" spans="1:14" x14ac:dyDescent="0.8">
      <c r="A391" s="5" t="s">
        <v>142</v>
      </c>
      <c r="B391" s="13">
        <f>B377</f>
        <v>39398.454775782004</v>
      </c>
      <c r="C391" s="6" t="s">
        <v>72</v>
      </c>
    </row>
    <row r="392" spans="1:14" x14ac:dyDescent="0.8">
      <c r="A392" s="5" t="s">
        <v>143</v>
      </c>
      <c r="B392" s="13">
        <f>B391/B390</f>
        <v>2489.9566122462234</v>
      </c>
      <c r="C392" s="6" t="s">
        <v>14</v>
      </c>
    </row>
    <row r="393" spans="1:14" x14ac:dyDescent="0.8">
      <c r="A393" s="5" t="s">
        <v>144</v>
      </c>
      <c r="B393" s="7">
        <f>(B392/4005)^2</f>
        <v>0.38652582716477618</v>
      </c>
      <c r="C393" s="6" t="s">
        <v>16</v>
      </c>
    </row>
    <row r="394" spans="1:14" x14ac:dyDescent="0.8">
      <c r="A394" s="5" t="s">
        <v>145</v>
      </c>
      <c r="B394" s="13">
        <f>1050*'[2]Design Info, Unit conversions'!$D$56</f>
        <v>41.338582677000005</v>
      </c>
      <c r="C394" s="6" t="s">
        <v>7</v>
      </c>
    </row>
    <row r="395" spans="1:14" x14ac:dyDescent="0.8">
      <c r="A395" s="5" t="s">
        <v>146</v>
      </c>
      <c r="B395" s="13">
        <f>1400*'[2]Design Info, Unit conversions'!$D$56</f>
        <v>55.118110236</v>
      </c>
      <c r="C395" s="6" t="s">
        <v>7</v>
      </c>
    </row>
    <row r="396" spans="1:14" x14ac:dyDescent="0.8">
      <c r="A396" s="5" t="s">
        <v>147</v>
      </c>
      <c r="B396" s="13">
        <f>(B395*B394)/144</f>
        <v>15.82294831243671</v>
      </c>
      <c r="C396" s="6" t="s">
        <v>10</v>
      </c>
    </row>
    <row r="397" spans="1:14" x14ac:dyDescent="0.8">
      <c r="A397" s="5" t="s">
        <v>148</v>
      </c>
      <c r="B397" s="13">
        <f>B391-B403</f>
        <v>35775.169970652001</v>
      </c>
      <c r="C397" s="6" t="s">
        <v>72</v>
      </c>
    </row>
    <row r="398" spans="1:14" x14ac:dyDescent="0.8">
      <c r="A398" s="5" t="s">
        <v>149</v>
      </c>
      <c r="B398" s="13">
        <f>B397/B396</f>
        <v>2260.9673787869865</v>
      </c>
      <c r="C398" s="6" t="s">
        <v>14</v>
      </c>
    </row>
    <row r="399" spans="1:14" x14ac:dyDescent="0.8">
      <c r="A399" s="5" t="s">
        <v>150</v>
      </c>
      <c r="B399" s="7">
        <f>(B398/4005)^2</f>
        <v>0.31870109229498689</v>
      </c>
      <c r="C399" s="6" t="s">
        <v>16</v>
      </c>
    </row>
    <row r="400" spans="1:14" x14ac:dyDescent="0.8">
      <c r="A400" s="5" t="s">
        <v>151</v>
      </c>
      <c r="B400" s="13">
        <f>700*'[2]Design Info, Unit conversions'!$D$56</f>
        <v>27.559055118</v>
      </c>
      <c r="C400" s="6" t="s">
        <v>7</v>
      </c>
    </row>
    <row r="401" spans="1:3" x14ac:dyDescent="0.8">
      <c r="A401" s="5" t="s">
        <v>152</v>
      </c>
      <c r="B401" s="13">
        <f>500*'[2]Design Info, Unit conversions'!$D$56</f>
        <v>19.685039370000002</v>
      </c>
      <c r="C401" s="6" t="s">
        <v>7</v>
      </c>
    </row>
    <row r="402" spans="1:3" x14ac:dyDescent="0.8">
      <c r="A402" s="5" t="s">
        <v>153</v>
      </c>
      <c r="B402" s="13">
        <f>(B401*B400)/144</f>
        <v>3.767368645818264</v>
      </c>
      <c r="C402" s="6" t="s">
        <v>10</v>
      </c>
    </row>
    <row r="403" spans="1:3" x14ac:dyDescent="0.8">
      <c r="A403" s="5" t="s">
        <v>154</v>
      </c>
      <c r="B403" s="13">
        <f>'[2]Terminal Units'!F129</f>
        <v>3623.2848051300002</v>
      </c>
      <c r="C403" s="6" t="s">
        <v>72</v>
      </c>
    </row>
    <row r="404" spans="1:3" x14ac:dyDescent="0.8">
      <c r="A404" s="5" t="s">
        <v>155</v>
      </c>
      <c r="B404" s="13">
        <f>B403/B402</f>
        <v>961.75478052879294</v>
      </c>
      <c r="C404" s="6" t="s">
        <v>14</v>
      </c>
    </row>
    <row r="405" spans="1:3" x14ac:dyDescent="0.8">
      <c r="A405" s="5" t="s">
        <v>156</v>
      </c>
      <c r="B405" s="7">
        <f>(B404/4005)^2</f>
        <v>5.7666509738606181E-2</v>
      </c>
      <c r="C405" s="6" t="s">
        <v>16</v>
      </c>
    </row>
    <row r="406" spans="1:3" x14ac:dyDescent="0.8">
      <c r="A406" s="5" t="s">
        <v>157</v>
      </c>
      <c r="B406" s="7">
        <v>0.06</v>
      </c>
      <c r="C406" s="6" t="s">
        <v>158</v>
      </c>
    </row>
    <row r="407" spans="1:3" x14ac:dyDescent="0.8">
      <c r="A407" s="5" t="s">
        <v>159</v>
      </c>
      <c r="B407" s="14">
        <f>B406*B399</f>
        <v>1.9122065537699212E-2</v>
      </c>
      <c r="C407" s="15" t="s">
        <v>120</v>
      </c>
    </row>
    <row r="408" spans="1:3" x14ac:dyDescent="0.8">
      <c r="A408" s="5" t="s">
        <v>160</v>
      </c>
      <c r="B408" s="7">
        <v>1.08</v>
      </c>
      <c r="C408" s="6" t="s">
        <v>158</v>
      </c>
    </row>
    <row r="409" spans="1:3" x14ac:dyDescent="0.8">
      <c r="A409" s="5" t="s">
        <v>161</v>
      </c>
      <c r="B409" s="25">
        <f>B408*B405</f>
        <v>6.227983051769468E-2</v>
      </c>
      <c r="C409" s="26" t="s">
        <v>120</v>
      </c>
    </row>
    <row r="410" spans="1:3" x14ac:dyDescent="0.8">
      <c r="A410" s="12" t="s">
        <v>89</v>
      </c>
      <c r="B410" s="13"/>
      <c r="C410" s="6"/>
    </row>
    <row r="411" spans="1:3" x14ac:dyDescent="0.8">
      <c r="A411" s="5" t="s">
        <v>6</v>
      </c>
      <c r="B411" s="13">
        <f>B394</f>
        <v>41.338582677000005</v>
      </c>
      <c r="C411" s="6" t="s">
        <v>7</v>
      </c>
    </row>
    <row r="412" spans="1:3" x14ac:dyDescent="0.8">
      <c r="A412" s="5" t="s">
        <v>8</v>
      </c>
      <c r="B412" s="13">
        <f>B395</f>
        <v>55.118110236</v>
      </c>
      <c r="C412" s="6" t="s">
        <v>7</v>
      </c>
    </row>
    <row r="413" spans="1:3" x14ac:dyDescent="0.8">
      <c r="A413" s="5" t="s">
        <v>9</v>
      </c>
      <c r="B413" s="13">
        <f>(B412*B411)/144</f>
        <v>15.82294831243671</v>
      </c>
      <c r="C413" s="6" t="s">
        <v>10</v>
      </c>
    </row>
    <row r="414" spans="1:3" x14ac:dyDescent="0.8">
      <c r="A414" s="5" t="s">
        <v>21</v>
      </c>
      <c r="B414" s="13">
        <f>B397</f>
        <v>35775.169970652001</v>
      </c>
      <c r="C414" s="6" t="s">
        <v>33</v>
      </c>
    </row>
    <row r="415" spans="1:3" x14ac:dyDescent="0.8">
      <c r="A415" s="5" t="s">
        <v>13</v>
      </c>
      <c r="B415" s="13">
        <f>B414/B413</f>
        <v>2260.9673787869865</v>
      </c>
      <c r="C415" s="6" t="s">
        <v>14</v>
      </c>
    </row>
    <row r="416" spans="1:3" x14ac:dyDescent="0.8">
      <c r="A416" s="5" t="s">
        <v>15</v>
      </c>
      <c r="B416" s="7">
        <f>(B415/4005)^2</f>
        <v>0.31870109229498689</v>
      </c>
      <c r="C416" s="6" t="s">
        <v>16</v>
      </c>
    </row>
    <row r="417" spans="1:14" x14ac:dyDescent="0.8">
      <c r="A417" s="5" t="s">
        <v>22</v>
      </c>
      <c r="B417" s="7">
        <f>'[2]Floor Elevations'!E10-'[2]Floor Elevations'!E9</f>
        <v>13.451443569499986</v>
      </c>
      <c r="C417" s="6" t="s">
        <v>23</v>
      </c>
    </row>
    <row r="418" spans="1:14" x14ac:dyDescent="0.8">
      <c r="A418" s="5" t="s">
        <v>28</v>
      </c>
      <c r="B418" s="14">
        <v>0.01</v>
      </c>
      <c r="C418" s="15" t="s">
        <v>34</v>
      </c>
    </row>
    <row r="419" spans="1:14" x14ac:dyDescent="0.8">
      <c r="A419" s="12" t="s">
        <v>29</v>
      </c>
    </row>
    <row r="420" spans="1:14" x14ac:dyDescent="0.8">
      <c r="A420" s="5" t="s">
        <v>162</v>
      </c>
      <c r="B420" s="17">
        <f>B407</f>
        <v>1.9122065537699212E-2</v>
      </c>
      <c r="C420" s="6" t="s">
        <v>16</v>
      </c>
    </row>
    <row r="421" spans="1:14" x14ac:dyDescent="0.8">
      <c r="A421" s="5" t="s">
        <v>92</v>
      </c>
      <c r="B421" s="17">
        <f>B418</f>
        <v>0.01</v>
      </c>
      <c r="C421" s="6" t="s">
        <v>16</v>
      </c>
    </row>
    <row r="422" spans="1:14" x14ac:dyDescent="0.8">
      <c r="A422" s="5" t="s">
        <v>96</v>
      </c>
      <c r="B422" s="23">
        <f>SUM(B420:B421)</f>
        <v>2.9122065537699214E-2</v>
      </c>
      <c r="C422" s="19" t="s">
        <v>16</v>
      </c>
    </row>
    <row r="423" spans="1:14" s="11" customFormat="1" x14ac:dyDescent="0.8">
      <c r="A423" s="8" t="s">
        <v>165</v>
      </c>
      <c r="B423" s="9"/>
      <c r="C423" s="10"/>
      <c r="D423" s="10"/>
      <c r="E423" s="10"/>
      <c r="F423" s="10"/>
      <c r="G423" s="10"/>
      <c r="H423" s="10"/>
      <c r="I423" s="10"/>
      <c r="J423" s="10"/>
      <c r="K423" s="10"/>
      <c r="L423" s="10"/>
      <c r="M423" s="10"/>
      <c r="N423" s="10"/>
    </row>
    <row r="424" spans="1:14" x14ac:dyDescent="0.8">
      <c r="A424" s="12" t="s">
        <v>138</v>
      </c>
      <c r="B424" s="13"/>
      <c r="C424" s="6"/>
    </row>
    <row r="425" spans="1:14" x14ac:dyDescent="0.8">
      <c r="A425" s="5" t="s">
        <v>139</v>
      </c>
      <c r="B425" s="13">
        <f>1050*'[2]Design Info, Unit conversions'!$D$56</f>
        <v>41.338582677000005</v>
      </c>
      <c r="C425" s="6" t="s">
        <v>7</v>
      </c>
    </row>
    <row r="426" spans="1:14" x14ac:dyDescent="0.8">
      <c r="A426" s="5" t="s">
        <v>140</v>
      </c>
      <c r="B426" s="13">
        <f>1400*'[2]Design Info, Unit conversions'!$D$56</f>
        <v>55.118110236</v>
      </c>
      <c r="C426" s="6" t="s">
        <v>7</v>
      </c>
    </row>
    <row r="427" spans="1:14" x14ac:dyDescent="0.8">
      <c r="A427" s="5" t="s">
        <v>141</v>
      </c>
      <c r="B427" s="13">
        <f>(B426*B425)/144</f>
        <v>15.82294831243671</v>
      </c>
      <c r="C427" s="6" t="s">
        <v>10</v>
      </c>
    </row>
    <row r="428" spans="1:14" x14ac:dyDescent="0.8">
      <c r="A428" s="5" t="s">
        <v>142</v>
      </c>
      <c r="B428" s="13">
        <f>B414</f>
        <v>35775.169970652001</v>
      </c>
      <c r="C428" s="6" t="s">
        <v>72</v>
      </c>
    </row>
    <row r="429" spans="1:14" x14ac:dyDescent="0.8">
      <c r="A429" s="5" t="s">
        <v>143</v>
      </c>
      <c r="B429" s="13">
        <f>B428/B427</f>
        <v>2260.9673787869865</v>
      </c>
      <c r="C429" s="6" t="s">
        <v>14</v>
      </c>
    </row>
    <row r="430" spans="1:14" x14ac:dyDescent="0.8">
      <c r="A430" s="5" t="s">
        <v>144</v>
      </c>
      <c r="B430" s="7">
        <f>(B429/4005)^2</f>
        <v>0.31870109229498689</v>
      </c>
      <c r="C430" s="6" t="s">
        <v>16</v>
      </c>
    </row>
    <row r="431" spans="1:14" x14ac:dyDescent="0.8">
      <c r="A431" s="5" t="s">
        <v>145</v>
      </c>
      <c r="B431" s="13">
        <f>700*'[2]Design Info, Unit conversions'!$D$56</f>
        <v>27.559055118</v>
      </c>
      <c r="C431" s="6" t="s">
        <v>7</v>
      </c>
    </row>
    <row r="432" spans="1:14" x14ac:dyDescent="0.8">
      <c r="A432" s="5" t="s">
        <v>146</v>
      </c>
      <c r="B432" s="13">
        <f>1400*'[2]Design Info, Unit conversions'!$D$56</f>
        <v>55.118110236</v>
      </c>
      <c r="C432" s="6" t="s">
        <v>7</v>
      </c>
    </row>
    <row r="433" spans="1:3" x14ac:dyDescent="0.8">
      <c r="A433" s="5" t="s">
        <v>147</v>
      </c>
      <c r="B433" s="13">
        <f>(B432*B431)/144</f>
        <v>10.548632208291139</v>
      </c>
      <c r="C433" s="6" t="s">
        <v>10</v>
      </c>
    </row>
    <row r="434" spans="1:3" x14ac:dyDescent="0.8">
      <c r="A434" s="5" t="s">
        <v>148</v>
      </c>
      <c r="B434" s="13">
        <f>B428-B440</f>
        <v>25089.658115523001</v>
      </c>
      <c r="C434" s="6" t="s">
        <v>72</v>
      </c>
    </row>
    <row r="435" spans="1:3" x14ac:dyDescent="0.8">
      <c r="A435" s="5" t="s">
        <v>149</v>
      </c>
      <c r="B435" s="13">
        <f>B434/B433</f>
        <v>2378.4750117463318</v>
      </c>
      <c r="C435" s="6" t="s">
        <v>14</v>
      </c>
    </row>
    <row r="436" spans="1:3" x14ac:dyDescent="0.8">
      <c r="A436" s="5" t="s">
        <v>150</v>
      </c>
      <c r="B436" s="7">
        <f>(B435/4005)^2</f>
        <v>0.35268918729875509</v>
      </c>
      <c r="C436" s="6" t="s">
        <v>16</v>
      </c>
    </row>
    <row r="437" spans="1:3" x14ac:dyDescent="0.8">
      <c r="A437" s="5" t="s">
        <v>151</v>
      </c>
      <c r="B437" s="13">
        <f>1400*'[2]Design Info, Unit conversions'!$D$56</f>
        <v>55.118110236</v>
      </c>
      <c r="C437" s="6" t="s">
        <v>7</v>
      </c>
    </row>
    <row r="438" spans="1:3" x14ac:dyDescent="0.8">
      <c r="A438" s="5" t="s">
        <v>152</v>
      </c>
      <c r="B438" s="13">
        <f>450*'[2]Design Info, Unit conversions'!$D$56</f>
        <v>17.716535433000001</v>
      </c>
      <c r="C438" s="6" t="s">
        <v>7</v>
      </c>
    </row>
    <row r="439" spans="1:3" x14ac:dyDescent="0.8">
      <c r="A439" s="5" t="s">
        <v>153</v>
      </c>
      <c r="B439" s="13">
        <f>(B438*B437)/144</f>
        <v>6.7812635624728754</v>
      </c>
      <c r="C439" s="6" t="s">
        <v>10</v>
      </c>
    </row>
    <row r="440" spans="1:3" x14ac:dyDescent="0.8">
      <c r="A440" s="5" t="s">
        <v>154</v>
      </c>
      <c r="B440" s="13">
        <f>'[2]Terminal Units'!F128+'[2]Terminal Units'!F127</f>
        <v>10685.511855129002</v>
      </c>
      <c r="C440" s="6" t="s">
        <v>72</v>
      </c>
    </row>
    <row r="441" spans="1:3" x14ac:dyDescent="0.8">
      <c r="A441" s="5" t="s">
        <v>155</v>
      </c>
      <c r="B441" s="13">
        <f>B440/B439</f>
        <v>1575.7405322308975</v>
      </c>
      <c r="C441" s="6" t="s">
        <v>14</v>
      </c>
    </row>
    <row r="442" spans="1:3" x14ac:dyDescent="0.8">
      <c r="A442" s="5" t="s">
        <v>156</v>
      </c>
      <c r="B442" s="7">
        <f>(B441/4005)^2</f>
        <v>0.154797653053241</v>
      </c>
      <c r="C442" s="6" t="s">
        <v>16</v>
      </c>
    </row>
    <row r="443" spans="1:3" x14ac:dyDescent="0.8">
      <c r="A443" s="5" t="s">
        <v>157</v>
      </c>
      <c r="B443" s="7">
        <v>0.04</v>
      </c>
      <c r="C443" s="6" t="s">
        <v>158</v>
      </c>
    </row>
    <row r="444" spans="1:3" x14ac:dyDescent="0.8">
      <c r="A444" s="5" t="s">
        <v>159</v>
      </c>
      <c r="B444" s="14">
        <f>B443*B436</f>
        <v>1.4107567491950204E-2</v>
      </c>
      <c r="C444" s="15" t="s">
        <v>120</v>
      </c>
    </row>
    <row r="445" spans="1:3" x14ac:dyDescent="0.8">
      <c r="A445" s="5" t="s">
        <v>160</v>
      </c>
      <c r="B445" s="7">
        <v>1.62</v>
      </c>
      <c r="C445" s="6" t="s">
        <v>158</v>
      </c>
    </row>
    <row r="446" spans="1:3" x14ac:dyDescent="0.8">
      <c r="A446" s="5" t="s">
        <v>161</v>
      </c>
      <c r="B446" s="25">
        <f>B445*B442</f>
        <v>0.25077219794625044</v>
      </c>
      <c r="C446" s="26" t="s">
        <v>120</v>
      </c>
    </row>
    <row r="447" spans="1:3" x14ac:dyDescent="0.8">
      <c r="A447" s="22" t="s">
        <v>131</v>
      </c>
      <c r="B447" s="13"/>
      <c r="C447" s="6"/>
    </row>
    <row r="448" spans="1:3" x14ac:dyDescent="0.8">
      <c r="A448" s="5" t="s">
        <v>6</v>
      </c>
      <c r="B448" s="13">
        <f>B432</f>
        <v>55.118110236</v>
      </c>
      <c r="C448" s="6" t="s">
        <v>7</v>
      </c>
    </row>
    <row r="449" spans="1:3" x14ac:dyDescent="0.8">
      <c r="A449" s="5" t="s">
        <v>8</v>
      </c>
      <c r="B449" s="13">
        <f>B431</f>
        <v>27.559055118</v>
      </c>
      <c r="C449" s="6" t="s">
        <v>7</v>
      </c>
    </row>
    <row r="450" spans="1:3" x14ac:dyDescent="0.8">
      <c r="A450" s="5" t="s">
        <v>9</v>
      </c>
      <c r="B450" s="13">
        <f>(B449*B448)/144</f>
        <v>10.548632208291139</v>
      </c>
      <c r="C450" s="6" t="s">
        <v>10</v>
      </c>
    </row>
    <row r="451" spans="1:3" x14ac:dyDescent="0.8">
      <c r="A451" s="5" t="s">
        <v>11</v>
      </c>
      <c r="B451" s="13">
        <f>B434</f>
        <v>25089.658115523001</v>
      </c>
      <c r="C451" s="6" t="s">
        <v>72</v>
      </c>
    </row>
    <row r="452" spans="1:3" x14ac:dyDescent="0.8">
      <c r="A452" s="5" t="s">
        <v>13</v>
      </c>
      <c r="B452" s="13">
        <f>B451/B450</f>
        <v>2378.4750117463318</v>
      </c>
      <c r="C452" s="6" t="s">
        <v>14</v>
      </c>
    </row>
    <row r="453" spans="1:3" x14ac:dyDescent="0.8">
      <c r="A453" s="5" t="s">
        <v>15</v>
      </c>
      <c r="B453" s="7">
        <f>(B452/4005)^2</f>
        <v>0.35268918729875509</v>
      </c>
      <c r="C453" s="6" t="s">
        <v>16</v>
      </c>
    </row>
    <row r="454" spans="1:3" x14ac:dyDescent="0.8">
      <c r="A454" s="5" t="s">
        <v>74</v>
      </c>
      <c r="B454" s="7">
        <v>0.08</v>
      </c>
      <c r="C454" s="6" t="s">
        <v>132</v>
      </c>
    </row>
    <row r="455" spans="1:3" x14ac:dyDescent="0.8">
      <c r="A455" s="5" t="s">
        <v>76</v>
      </c>
      <c r="B455" s="14">
        <f>B454*B453</f>
        <v>2.8215134983900408E-2</v>
      </c>
      <c r="C455" s="15" t="s">
        <v>77</v>
      </c>
    </row>
    <row r="456" spans="1:3" x14ac:dyDescent="0.8">
      <c r="A456" s="22" t="s">
        <v>133</v>
      </c>
      <c r="B456" s="13"/>
      <c r="C456" s="6"/>
    </row>
    <row r="457" spans="1:3" x14ac:dyDescent="0.8">
      <c r="A457" s="5" t="s">
        <v>6</v>
      </c>
      <c r="B457" s="13">
        <f>B448</f>
        <v>55.118110236</v>
      </c>
      <c r="C457" s="6" t="s">
        <v>7</v>
      </c>
    </row>
    <row r="458" spans="1:3" x14ac:dyDescent="0.8">
      <c r="A458" s="5" t="s">
        <v>8</v>
      </c>
      <c r="B458" s="13">
        <f>B449</f>
        <v>27.559055118</v>
      </c>
      <c r="C458" s="6" t="s">
        <v>7</v>
      </c>
    </row>
    <row r="459" spans="1:3" x14ac:dyDescent="0.8">
      <c r="A459" s="5" t="s">
        <v>9</v>
      </c>
      <c r="B459" s="13">
        <f>(B458*B457)/144</f>
        <v>10.548632208291139</v>
      </c>
      <c r="C459" s="6" t="s">
        <v>10</v>
      </c>
    </row>
    <row r="460" spans="1:3" x14ac:dyDescent="0.8">
      <c r="A460" s="5" t="s">
        <v>11</v>
      </c>
      <c r="B460" s="13">
        <f>B451</f>
        <v>25089.658115523001</v>
      </c>
      <c r="C460" s="6" t="s">
        <v>72</v>
      </c>
    </row>
    <row r="461" spans="1:3" x14ac:dyDescent="0.8">
      <c r="A461" s="5" t="s">
        <v>13</v>
      </c>
      <c r="B461" s="13">
        <f>B460/B459</f>
        <v>2378.4750117463318</v>
      </c>
      <c r="C461" s="6" t="s">
        <v>14</v>
      </c>
    </row>
    <row r="462" spans="1:3" x14ac:dyDescent="0.8">
      <c r="A462" s="5" t="s">
        <v>15</v>
      </c>
      <c r="B462" s="7">
        <f>(B461/4005)^2</f>
        <v>0.35268918729875509</v>
      </c>
      <c r="C462" s="6" t="s">
        <v>16</v>
      </c>
    </row>
    <row r="463" spans="1:3" x14ac:dyDescent="0.8">
      <c r="A463" s="5" t="s">
        <v>74</v>
      </c>
      <c r="B463" s="7">
        <v>0.08</v>
      </c>
      <c r="C463" s="6" t="s">
        <v>132</v>
      </c>
    </row>
    <row r="464" spans="1:3" x14ac:dyDescent="0.8">
      <c r="A464" s="5" t="s">
        <v>76</v>
      </c>
      <c r="B464" s="7">
        <f>B463*B462</f>
        <v>2.8215134983900408E-2</v>
      </c>
      <c r="C464" s="6" t="s">
        <v>77</v>
      </c>
    </row>
    <row r="465" spans="1:3" x14ac:dyDescent="0.8">
      <c r="A465" s="12" t="s">
        <v>134</v>
      </c>
      <c r="B465" s="13"/>
      <c r="C465" s="6"/>
    </row>
    <row r="466" spans="1:3" x14ac:dyDescent="0.8">
      <c r="A466" s="5" t="s">
        <v>81</v>
      </c>
      <c r="B466" s="13">
        <f>(1500*'[2]Design Info, Unit conversions'!$D$56)/12</f>
        <v>4.9212598425000005</v>
      </c>
      <c r="C466" s="6" t="s">
        <v>23</v>
      </c>
    </row>
    <row r="467" spans="1:3" x14ac:dyDescent="0.8">
      <c r="A467" s="5" t="s">
        <v>82</v>
      </c>
      <c r="B467" s="7">
        <v>1.3</v>
      </c>
      <c r="C467" s="6" t="s">
        <v>83</v>
      </c>
    </row>
    <row r="468" spans="1:3" x14ac:dyDescent="0.8">
      <c r="A468" s="5" t="s">
        <v>116</v>
      </c>
      <c r="B468" s="14">
        <f>B467*B464</f>
        <v>3.6679675479070535E-2</v>
      </c>
      <c r="C468" s="15" t="s">
        <v>77</v>
      </c>
    </row>
    <row r="469" spans="1:3" x14ac:dyDescent="0.8">
      <c r="A469" s="12" t="s">
        <v>89</v>
      </c>
      <c r="B469" s="13"/>
      <c r="C469" s="6"/>
    </row>
    <row r="470" spans="1:3" x14ac:dyDescent="0.8">
      <c r="A470" s="5" t="s">
        <v>6</v>
      </c>
      <c r="B470" s="13">
        <f>B431</f>
        <v>27.559055118</v>
      </c>
      <c r="C470" s="6" t="s">
        <v>7</v>
      </c>
    </row>
    <row r="471" spans="1:3" x14ac:dyDescent="0.8">
      <c r="A471" s="5" t="s">
        <v>8</v>
      </c>
      <c r="B471" s="13">
        <f>B432</f>
        <v>55.118110236</v>
      </c>
      <c r="C471" s="6" t="s">
        <v>7</v>
      </c>
    </row>
    <row r="472" spans="1:3" x14ac:dyDescent="0.8">
      <c r="A472" s="5" t="s">
        <v>9</v>
      </c>
      <c r="B472" s="13">
        <f>(B471*B470)/144</f>
        <v>10.548632208291139</v>
      </c>
      <c r="C472" s="6" t="s">
        <v>10</v>
      </c>
    </row>
    <row r="473" spans="1:3" x14ac:dyDescent="0.8">
      <c r="A473" s="5" t="s">
        <v>21</v>
      </c>
      <c r="B473" s="13">
        <f>B434</f>
        <v>25089.658115523001</v>
      </c>
      <c r="C473" s="6" t="s">
        <v>33</v>
      </c>
    </row>
    <row r="474" spans="1:3" x14ac:dyDescent="0.8">
      <c r="A474" s="5" t="s">
        <v>13</v>
      </c>
      <c r="B474" s="13">
        <f>B473/B472</f>
        <v>2378.4750117463318</v>
      </c>
      <c r="C474" s="6" t="s">
        <v>14</v>
      </c>
    </row>
    <row r="475" spans="1:3" x14ac:dyDescent="0.8">
      <c r="A475" s="5" t="s">
        <v>15</v>
      </c>
      <c r="B475" s="7">
        <f>(B474/4005)^2</f>
        <v>0.35268918729875509</v>
      </c>
      <c r="C475" s="6" t="s">
        <v>16</v>
      </c>
    </row>
    <row r="476" spans="1:3" x14ac:dyDescent="0.8">
      <c r="A476" s="5" t="s">
        <v>22</v>
      </c>
      <c r="B476" s="7">
        <f>(0.5*('[2]Floor Elevations'!E9-'[2]Floor Elevations'!E8))+('[2]Floor Elevations'!E8-'[2]Floor Elevations'!E7)</f>
        <v>20.177165354250008</v>
      </c>
      <c r="C476" s="6" t="s">
        <v>23</v>
      </c>
    </row>
    <row r="477" spans="1:3" x14ac:dyDescent="0.8">
      <c r="A477" s="5" t="s">
        <v>28</v>
      </c>
      <c r="B477" s="14">
        <v>0.03</v>
      </c>
      <c r="C477" s="15" t="s">
        <v>34</v>
      </c>
    </row>
    <row r="478" spans="1:3" x14ac:dyDescent="0.8">
      <c r="A478" s="12" t="s">
        <v>29</v>
      </c>
    </row>
    <row r="479" spans="1:3" x14ac:dyDescent="0.8">
      <c r="A479" s="5" t="s">
        <v>162</v>
      </c>
      <c r="B479" s="17">
        <f>B444</f>
        <v>1.4107567491950204E-2</v>
      </c>
      <c r="C479" s="6" t="s">
        <v>16</v>
      </c>
    </row>
    <row r="480" spans="1:3" x14ac:dyDescent="0.8">
      <c r="A480" s="5" t="s">
        <v>135</v>
      </c>
      <c r="B480" s="17">
        <f>B455</f>
        <v>2.8215134983900408E-2</v>
      </c>
      <c r="C480" s="6"/>
    </row>
    <row r="481" spans="1:14" x14ac:dyDescent="0.8">
      <c r="A481" s="5" t="s">
        <v>136</v>
      </c>
      <c r="B481" s="17">
        <f>B468</f>
        <v>3.6679675479070535E-2</v>
      </c>
      <c r="C481" s="6"/>
    </row>
    <row r="482" spans="1:14" x14ac:dyDescent="0.8">
      <c r="A482" s="5" t="s">
        <v>92</v>
      </c>
      <c r="B482" s="17">
        <f>B477</f>
        <v>0.03</v>
      </c>
      <c r="C482" s="6" t="s">
        <v>16</v>
      </c>
    </row>
    <row r="483" spans="1:14" x14ac:dyDescent="0.8">
      <c r="A483" s="5" t="s">
        <v>96</v>
      </c>
      <c r="B483" s="23">
        <f>SUM(B479:B482)</f>
        <v>0.10900237795492115</v>
      </c>
      <c r="C483" s="19" t="s">
        <v>16</v>
      </c>
    </row>
    <row r="484" spans="1:14" s="11" customFormat="1" x14ac:dyDescent="0.8">
      <c r="A484" s="8" t="s">
        <v>166</v>
      </c>
      <c r="B484" s="9"/>
      <c r="C484" s="10"/>
      <c r="D484" s="10"/>
      <c r="E484" s="10"/>
      <c r="F484" s="10"/>
      <c r="G484" s="10"/>
      <c r="H484" s="10"/>
      <c r="I484" s="10"/>
      <c r="J484" s="10"/>
      <c r="K484" s="10"/>
      <c r="L484" s="10"/>
      <c r="M484" s="10"/>
      <c r="N484" s="10"/>
    </row>
    <row r="485" spans="1:14" x14ac:dyDescent="0.8">
      <c r="A485" s="12" t="s">
        <v>138</v>
      </c>
      <c r="B485" s="13"/>
      <c r="C485" s="6"/>
    </row>
    <row r="486" spans="1:14" x14ac:dyDescent="0.8">
      <c r="A486" s="5" t="s">
        <v>139</v>
      </c>
      <c r="B486" s="13">
        <f>700*'[2]Design Info, Unit conversions'!$D$56</f>
        <v>27.559055118</v>
      </c>
      <c r="C486" s="6" t="s">
        <v>7</v>
      </c>
    </row>
    <row r="487" spans="1:14" x14ac:dyDescent="0.8">
      <c r="A487" s="5" t="s">
        <v>140</v>
      </c>
      <c r="B487" s="13">
        <f>1400*'[2]Design Info, Unit conversions'!$D$56</f>
        <v>55.118110236</v>
      </c>
      <c r="C487" s="6" t="s">
        <v>7</v>
      </c>
    </row>
    <row r="488" spans="1:14" x14ac:dyDescent="0.8">
      <c r="A488" s="5" t="s">
        <v>141</v>
      </c>
      <c r="B488" s="13">
        <f>(B487*B486)/144</f>
        <v>10.548632208291139</v>
      </c>
      <c r="C488" s="6" t="s">
        <v>10</v>
      </c>
    </row>
    <row r="489" spans="1:14" x14ac:dyDescent="0.8">
      <c r="A489" s="5" t="s">
        <v>142</v>
      </c>
      <c r="B489" s="13">
        <f>B473</f>
        <v>25089.658115523001</v>
      </c>
      <c r="C489" s="6" t="s">
        <v>72</v>
      </c>
    </row>
    <row r="490" spans="1:14" x14ac:dyDescent="0.8">
      <c r="A490" s="5" t="s">
        <v>143</v>
      </c>
      <c r="B490" s="13">
        <f>B489/B488</f>
        <v>2378.4750117463318</v>
      </c>
      <c r="C490" s="6" t="s">
        <v>14</v>
      </c>
    </row>
    <row r="491" spans="1:14" x14ac:dyDescent="0.8">
      <c r="A491" s="5" t="s">
        <v>144</v>
      </c>
      <c r="B491" s="7">
        <f>(B490/4005)^2</f>
        <v>0.35268918729875509</v>
      </c>
      <c r="C491" s="6" t="s">
        <v>16</v>
      </c>
    </row>
    <row r="492" spans="1:14" x14ac:dyDescent="0.8">
      <c r="A492" s="5" t="s">
        <v>145</v>
      </c>
      <c r="B492" s="13">
        <f>700*'[2]Design Info, Unit conversions'!$D$56</f>
        <v>27.559055118</v>
      </c>
      <c r="C492" s="6" t="s">
        <v>7</v>
      </c>
    </row>
    <row r="493" spans="1:14" x14ac:dyDescent="0.8">
      <c r="A493" s="5" t="s">
        <v>146</v>
      </c>
      <c r="B493" s="13">
        <f>1200*'[2]Design Info, Unit conversions'!$D$56</f>
        <v>47.244094488000002</v>
      </c>
      <c r="C493" s="6" t="s">
        <v>7</v>
      </c>
    </row>
    <row r="494" spans="1:14" x14ac:dyDescent="0.8">
      <c r="A494" s="5" t="s">
        <v>147</v>
      </c>
      <c r="B494" s="13">
        <f>(B493*B492)/144</f>
        <v>9.0416847499638333</v>
      </c>
      <c r="C494" s="6" t="s">
        <v>10</v>
      </c>
    </row>
    <row r="495" spans="1:14" x14ac:dyDescent="0.8">
      <c r="A495" s="5" t="s">
        <v>148</v>
      </c>
      <c r="B495" s="13">
        <f>B489-B501</f>
        <v>22837.288672334002</v>
      </c>
      <c r="C495" s="6" t="s">
        <v>72</v>
      </c>
    </row>
    <row r="496" spans="1:14" x14ac:dyDescent="0.8">
      <c r="A496" s="5" t="s">
        <v>149</v>
      </c>
      <c r="B496" s="13">
        <f>B495/B494</f>
        <v>2525.778027421864</v>
      </c>
      <c r="C496" s="6" t="s">
        <v>14</v>
      </c>
    </row>
    <row r="497" spans="1:3" x14ac:dyDescent="0.8">
      <c r="A497" s="5" t="s">
        <v>150</v>
      </c>
      <c r="B497" s="7">
        <f>(B496/4005)^2</f>
        <v>0.39772722572484032</v>
      </c>
      <c r="C497" s="6" t="s">
        <v>16</v>
      </c>
    </row>
    <row r="498" spans="1:3" x14ac:dyDescent="0.8">
      <c r="A498" s="5" t="s">
        <v>151</v>
      </c>
      <c r="B498" s="13">
        <f>700*'[2]Design Info, Unit conversions'!$D$56</f>
        <v>27.559055118</v>
      </c>
      <c r="C498" s="6" t="s">
        <v>7</v>
      </c>
    </row>
    <row r="499" spans="1:3" x14ac:dyDescent="0.8">
      <c r="A499" s="5" t="s">
        <v>152</v>
      </c>
      <c r="B499" s="13">
        <f>500*'[2]Design Info, Unit conversions'!$D$56</f>
        <v>19.685039370000002</v>
      </c>
      <c r="C499" s="6" t="s">
        <v>7</v>
      </c>
    </row>
    <row r="500" spans="1:3" x14ac:dyDescent="0.8">
      <c r="A500" s="5" t="s">
        <v>153</v>
      </c>
      <c r="B500" s="13">
        <f>(B499*B498)/144</f>
        <v>3.767368645818264</v>
      </c>
      <c r="C500" s="6" t="s">
        <v>10</v>
      </c>
    </row>
    <row r="501" spans="1:3" x14ac:dyDescent="0.8">
      <c r="A501" s="5" t="s">
        <v>154</v>
      </c>
      <c r="B501" s="13">
        <f>'[2]Terminal Units'!F126</f>
        <v>2252.3694431890003</v>
      </c>
      <c r="C501" s="6" t="s">
        <v>72</v>
      </c>
    </row>
    <row r="502" spans="1:3" x14ac:dyDescent="0.8">
      <c r="A502" s="5" t="s">
        <v>155</v>
      </c>
      <c r="B502" s="13">
        <f>B501/B500</f>
        <v>597.86276707725551</v>
      </c>
      <c r="C502" s="6" t="s">
        <v>14</v>
      </c>
    </row>
    <row r="503" spans="1:3" x14ac:dyDescent="0.8">
      <c r="A503" s="5" t="s">
        <v>156</v>
      </c>
      <c r="B503" s="7">
        <f>(B502/4005)^2</f>
        <v>2.2284247577997705E-2</v>
      </c>
      <c r="C503" s="6" t="s">
        <v>16</v>
      </c>
    </row>
    <row r="504" spans="1:3" x14ac:dyDescent="0.8">
      <c r="A504" s="5" t="s">
        <v>157</v>
      </c>
      <c r="B504" s="7">
        <v>0.03</v>
      </c>
      <c r="C504" s="6" t="s">
        <v>158</v>
      </c>
    </row>
    <row r="505" spans="1:3" x14ac:dyDescent="0.8">
      <c r="A505" s="5" t="s">
        <v>159</v>
      </c>
      <c r="B505" s="14">
        <f>B504*B497</f>
        <v>1.1931816771745209E-2</v>
      </c>
      <c r="C505" s="15" t="s">
        <v>120</v>
      </c>
    </row>
    <row r="506" spans="1:3" x14ac:dyDescent="0.8">
      <c r="A506" s="5" t="s">
        <v>160</v>
      </c>
      <c r="B506" s="7">
        <v>3.04</v>
      </c>
      <c r="C506" s="6" t="s">
        <v>158</v>
      </c>
    </row>
    <row r="507" spans="1:3" x14ac:dyDescent="0.8">
      <c r="A507" s="5" t="s">
        <v>161</v>
      </c>
      <c r="B507" s="25">
        <f>B506*B503</f>
        <v>6.7744112637113024E-2</v>
      </c>
      <c r="C507" s="26" t="s">
        <v>120</v>
      </c>
    </row>
    <row r="508" spans="1:3" x14ac:dyDescent="0.8">
      <c r="A508" s="12" t="s">
        <v>89</v>
      </c>
      <c r="B508" s="13"/>
      <c r="C508" s="6"/>
    </row>
    <row r="509" spans="1:3" x14ac:dyDescent="0.8">
      <c r="A509" s="5" t="s">
        <v>6</v>
      </c>
      <c r="B509" s="13">
        <f>B470</f>
        <v>27.559055118</v>
      </c>
      <c r="C509" s="6" t="s">
        <v>7</v>
      </c>
    </row>
    <row r="510" spans="1:3" x14ac:dyDescent="0.8">
      <c r="A510" s="5" t="s">
        <v>8</v>
      </c>
      <c r="B510" s="13">
        <f>B493</f>
        <v>47.244094488000002</v>
      </c>
      <c r="C510" s="6" t="s">
        <v>7</v>
      </c>
    </row>
    <row r="511" spans="1:3" x14ac:dyDescent="0.8">
      <c r="A511" s="5" t="s">
        <v>9</v>
      </c>
      <c r="B511" s="13">
        <f>(B510*B509)/144</f>
        <v>9.0416847499638333</v>
      </c>
      <c r="C511" s="6" t="s">
        <v>10</v>
      </c>
    </row>
    <row r="512" spans="1:3" x14ac:dyDescent="0.8">
      <c r="A512" s="5" t="s">
        <v>21</v>
      </c>
      <c r="B512" s="13">
        <f>B495</f>
        <v>22837.288672334002</v>
      </c>
      <c r="C512" s="6" t="s">
        <v>33</v>
      </c>
    </row>
    <row r="513" spans="1:14" x14ac:dyDescent="0.8">
      <c r="A513" s="5" t="s">
        <v>13</v>
      </c>
      <c r="B513" s="13">
        <f>B512/B511</f>
        <v>2525.778027421864</v>
      </c>
      <c r="C513" s="6" t="s">
        <v>14</v>
      </c>
    </row>
    <row r="514" spans="1:14" x14ac:dyDescent="0.8">
      <c r="A514" s="5" t="s">
        <v>15</v>
      </c>
      <c r="B514" s="7">
        <f>(B513/4005)^2</f>
        <v>0.39772722572484032</v>
      </c>
      <c r="C514" s="6" t="s">
        <v>16</v>
      </c>
    </row>
    <row r="515" spans="1:14" x14ac:dyDescent="0.8">
      <c r="A515" s="5" t="s">
        <v>22</v>
      </c>
      <c r="B515" s="7">
        <f>'[2]Floor Elevations'!D7</f>
        <v>13.451443569500015</v>
      </c>
      <c r="C515" s="6" t="s">
        <v>23</v>
      </c>
    </row>
    <row r="516" spans="1:14" x14ac:dyDescent="0.8">
      <c r="A516" s="5" t="s">
        <v>28</v>
      </c>
      <c r="B516" s="14">
        <v>0.02</v>
      </c>
      <c r="C516" s="15" t="s">
        <v>34</v>
      </c>
    </row>
    <row r="517" spans="1:14" x14ac:dyDescent="0.8">
      <c r="A517" s="12" t="s">
        <v>29</v>
      </c>
    </row>
    <row r="518" spans="1:14" x14ac:dyDescent="0.8">
      <c r="A518" s="5" t="s">
        <v>162</v>
      </c>
      <c r="B518" s="17">
        <f>B505</f>
        <v>1.1931816771745209E-2</v>
      </c>
      <c r="C518" s="6" t="s">
        <v>16</v>
      </c>
    </row>
    <row r="519" spans="1:14" x14ac:dyDescent="0.8">
      <c r="A519" s="5" t="s">
        <v>92</v>
      </c>
      <c r="B519" s="17">
        <f>B516</f>
        <v>0.02</v>
      </c>
      <c r="C519" s="6" t="s">
        <v>16</v>
      </c>
    </row>
    <row r="520" spans="1:14" x14ac:dyDescent="0.8">
      <c r="A520" s="5" t="s">
        <v>96</v>
      </c>
      <c r="B520" s="23">
        <f>SUM(B518:B519)</f>
        <v>3.1931816771745211E-2</v>
      </c>
      <c r="C520" s="19" t="s">
        <v>16</v>
      </c>
    </row>
    <row r="521" spans="1:14" s="11" customFormat="1" x14ac:dyDescent="0.8">
      <c r="A521" s="8" t="s">
        <v>167</v>
      </c>
      <c r="B521" s="9"/>
      <c r="C521" s="10"/>
      <c r="D521" s="10"/>
      <c r="E521" s="10"/>
      <c r="F521" s="10"/>
      <c r="G521" s="10"/>
      <c r="H521" s="10"/>
      <c r="I521" s="10"/>
      <c r="J521" s="10"/>
      <c r="K521" s="10"/>
      <c r="L521" s="10"/>
      <c r="M521" s="10"/>
      <c r="N521" s="10"/>
    </row>
    <row r="522" spans="1:14" x14ac:dyDescent="0.8">
      <c r="A522" s="12" t="s">
        <v>138</v>
      </c>
      <c r="B522" s="13"/>
      <c r="C522" s="6"/>
    </row>
    <row r="523" spans="1:14" x14ac:dyDescent="0.8">
      <c r="A523" s="5" t="s">
        <v>139</v>
      </c>
      <c r="B523" s="13">
        <f>700*'[2]Design Info, Unit conversions'!$D$56</f>
        <v>27.559055118</v>
      </c>
      <c r="C523" s="6" t="s">
        <v>7</v>
      </c>
    </row>
    <row r="524" spans="1:14" x14ac:dyDescent="0.8">
      <c r="A524" s="5" t="s">
        <v>140</v>
      </c>
      <c r="B524" s="13">
        <f>B510</f>
        <v>47.244094488000002</v>
      </c>
      <c r="C524" s="6" t="s">
        <v>7</v>
      </c>
    </row>
    <row r="525" spans="1:14" x14ac:dyDescent="0.8">
      <c r="A525" s="5" t="s">
        <v>141</v>
      </c>
      <c r="B525" s="13">
        <f>(B524*B523)/144</f>
        <v>9.0416847499638333</v>
      </c>
      <c r="C525" s="6" t="s">
        <v>10</v>
      </c>
    </row>
    <row r="526" spans="1:14" x14ac:dyDescent="0.8">
      <c r="A526" s="5" t="s">
        <v>142</v>
      </c>
      <c r="B526" s="13">
        <f>B512</f>
        <v>22837.288672334002</v>
      </c>
      <c r="C526" s="6" t="s">
        <v>72</v>
      </c>
    </row>
    <row r="527" spans="1:14" x14ac:dyDescent="0.8">
      <c r="A527" s="5" t="s">
        <v>143</v>
      </c>
      <c r="B527" s="13">
        <f>B526/B525</f>
        <v>2525.778027421864</v>
      </c>
      <c r="C527" s="6" t="s">
        <v>14</v>
      </c>
    </row>
    <row r="528" spans="1:14" x14ac:dyDescent="0.8">
      <c r="A528" s="5" t="s">
        <v>144</v>
      </c>
      <c r="B528" s="7">
        <f>(B527/4005)^2</f>
        <v>0.39772722572484032</v>
      </c>
      <c r="C528" s="6" t="s">
        <v>16</v>
      </c>
    </row>
    <row r="529" spans="1:3" x14ac:dyDescent="0.8">
      <c r="A529" s="5" t="s">
        <v>145</v>
      </c>
      <c r="B529" s="13">
        <f>700*'[2]Design Info, Unit conversions'!$D$56</f>
        <v>27.559055118</v>
      </c>
      <c r="C529" s="6" t="s">
        <v>7</v>
      </c>
    </row>
    <row r="530" spans="1:3" x14ac:dyDescent="0.8">
      <c r="A530" s="5" t="s">
        <v>146</v>
      </c>
      <c r="B530" s="13">
        <f>1200*'[2]Design Info, Unit conversions'!$D$56</f>
        <v>47.244094488000002</v>
      </c>
      <c r="C530" s="6" t="s">
        <v>7</v>
      </c>
    </row>
    <row r="531" spans="1:3" x14ac:dyDescent="0.8">
      <c r="A531" s="5" t="s">
        <v>147</v>
      </c>
      <c r="B531" s="13">
        <f>(B530*B529)/144</f>
        <v>9.0416847499638333</v>
      </c>
      <c r="C531" s="6" t="s">
        <v>10</v>
      </c>
    </row>
    <row r="532" spans="1:3" x14ac:dyDescent="0.8">
      <c r="A532" s="5" t="s">
        <v>148</v>
      </c>
      <c r="B532" s="13">
        <f>B526-'[2]Terminal Units'!F125</f>
        <v>16192.480982926001</v>
      </c>
      <c r="C532" s="6" t="s">
        <v>72</v>
      </c>
    </row>
    <row r="533" spans="1:3" x14ac:dyDescent="0.8">
      <c r="A533" s="5" t="s">
        <v>149</v>
      </c>
      <c r="B533" s="13">
        <f>B532/B531</f>
        <v>1790.8698910333908</v>
      </c>
      <c r="C533" s="6" t="s">
        <v>14</v>
      </c>
    </row>
    <row r="534" spans="1:3" x14ac:dyDescent="0.8">
      <c r="A534" s="5" t="s">
        <v>150</v>
      </c>
      <c r="B534" s="7">
        <f>(B533/4005)^2</f>
        <v>0.1999507461247691</v>
      </c>
      <c r="C534" s="6" t="s">
        <v>16</v>
      </c>
    </row>
    <row r="535" spans="1:3" x14ac:dyDescent="0.8">
      <c r="A535" s="5" t="s">
        <v>151</v>
      </c>
      <c r="B535" s="13">
        <f>700*'[2]Design Info, Unit conversions'!$D$56</f>
        <v>27.559055118</v>
      </c>
      <c r="C535" s="6" t="s">
        <v>7</v>
      </c>
    </row>
    <row r="536" spans="1:3" x14ac:dyDescent="0.8">
      <c r="A536" s="5" t="s">
        <v>152</v>
      </c>
      <c r="B536" s="13">
        <f>500*'[2]Design Info, Unit conversions'!$D$56</f>
        <v>19.685039370000002</v>
      </c>
      <c r="C536" s="6" t="s">
        <v>7</v>
      </c>
    </row>
    <row r="537" spans="1:3" x14ac:dyDescent="0.8">
      <c r="A537" s="5" t="s">
        <v>153</v>
      </c>
      <c r="B537" s="13">
        <f>(B536*B535)/144</f>
        <v>3.767368645818264</v>
      </c>
      <c r="C537" s="6" t="s">
        <v>10</v>
      </c>
    </row>
    <row r="538" spans="1:3" x14ac:dyDescent="0.8">
      <c r="A538" s="5" t="s">
        <v>154</v>
      </c>
      <c r="B538" s="13">
        <f>'[2]Terminal Units'!F125</f>
        <v>6644.8076894080004</v>
      </c>
      <c r="C538" s="6" t="s">
        <v>72</v>
      </c>
    </row>
    <row r="539" spans="1:3" x14ac:dyDescent="0.8">
      <c r="A539" s="5" t="s">
        <v>155</v>
      </c>
      <c r="B539" s="13">
        <f>B538/B537</f>
        <v>1763.7795273323361</v>
      </c>
      <c r="C539" s="6" t="s">
        <v>14</v>
      </c>
    </row>
    <row r="540" spans="1:3" x14ac:dyDescent="0.8">
      <c r="A540" s="5" t="s">
        <v>156</v>
      </c>
      <c r="B540" s="7">
        <f>(B539/4005)^2</f>
        <v>0.19394721772794488</v>
      </c>
      <c r="C540" s="6" t="s">
        <v>16</v>
      </c>
    </row>
    <row r="541" spans="1:3" x14ac:dyDescent="0.8">
      <c r="A541" s="5" t="s">
        <v>157</v>
      </c>
      <c r="B541" s="7">
        <v>0.23</v>
      </c>
      <c r="C541" s="6" t="s">
        <v>158</v>
      </c>
    </row>
    <row r="542" spans="1:3" x14ac:dyDescent="0.8">
      <c r="A542" s="5" t="s">
        <v>159</v>
      </c>
      <c r="B542" s="14">
        <f>B541*B534</f>
        <v>4.5988671608696893E-2</v>
      </c>
      <c r="C542" s="15" t="s">
        <v>120</v>
      </c>
    </row>
    <row r="543" spans="1:3" x14ac:dyDescent="0.8">
      <c r="A543" s="5" t="s">
        <v>160</v>
      </c>
      <c r="B543" s="7">
        <v>1.67</v>
      </c>
      <c r="C543" s="6" t="s">
        <v>158</v>
      </c>
    </row>
    <row r="544" spans="1:3" x14ac:dyDescent="0.8">
      <c r="A544" s="5" t="s">
        <v>161</v>
      </c>
      <c r="B544" s="25">
        <f>B543*B540</f>
        <v>0.32389185360566791</v>
      </c>
      <c r="C544" s="26" t="s">
        <v>120</v>
      </c>
    </row>
    <row r="545" spans="1:3" x14ac:dyDescent="0.8">
      <c r="A545" s="22" t="s">
        <v>131</v>
      </c>
      <c r="B545" s="13"/>
      <c r="C545" s="6"/>
    </row>
    <row r="546" spans="1:3" x14ac:dyDescent="0.8">
      <c r="A546" s="5" t="s">
        <v>6</v>
      </c>
      <c r="B546" s="13">
        <f>B493</f>
        <v>47.244094488000002</v>
      </c>
      <c r="C546" s="6" t="s">
        <v>7</v>
      </c>
    </row>
    <row r="547" spans="1:3" x14ac:dyDescent="0.8">
      <c r="A547" s="5" t="s">
        <v>8</v>
      </c>
      <c r="B547" s="13">
        <f>B492</f>
        <v>27.559055118</v>
      </c>
      <c r="C547" s="6" t="s">
        <v>7</v>
      </c>
    </row>
    <row r="548" spans="1:3" x14ac:dyDescent="0.8">
      <c r="A548" s="5" t="s">
        <v>9</v>
      </c>
      <c r="B548" s="13">
        <f>(B547*B546)/144</f>
        <v>9.0416847499638333</v>
      </c>
      <c r="C548" s="6" t="s">
        <v>10</v>
      </c>
    </row>
    <row r="549" spans="1:3" x14ac:dyDescent="0.8">
      <c r="A549" s="5" t="s">
        <v>11</v>
      </c>
      <c r="B549" s="13">
        <f>B532</f>
        <v>16192.480982926001</v>
      </c>
      <c r="C549" s="6" t="s">
        <v>72</v>
      </c>
    </row>
    <row r="550" spans="1:3" x14ac:dyDescent="0.8">
      <c r="A550" s="5" t="s">
        <v>13</v>
      </c>
      <c r="B550" s="13">
        <f>B549/B548</f>
        <v>1790.8698910333908</v>
      </c>
      <c r="C550" s="6" t="s">
        <v>14</v>
      </c>
    </row>
    <row r="551" spans="1:3" x14ac:dyDescent="0.8">
      <c r="A551" s="5" t="s">
        <v>15</v>
      </c>
      <c r="B551" s="7">
        <f>(B550/4005)^2</f>
        <v>0.1999507461247691</v>
      </c>
      <c r="C551" s="6" t="s">
        <v>16</v>
      </c>
    </row>
    <row r="552" spans="1:3" x14ac:dyDescent="0.8">
      <c r="A552" s="5" t="s">
        <v>74</v>
      </c>
      <c r="B552" s="7">
        <v>0.09</v>
      </c>
      <c r="C552" s="6" t="s">
        <v>132</v>
      </c>
    </row>
    <row r="553" spans="1:3" x14ac:dyDescent="0.8">
      <c r="A553" s="5" t="s">
        <v>76</v>
      </c>
      <c r="B553" s="14">
        <f>B552*B551</f>
        <v>1.7995567151229217E-2</v>
      </c>
      <c r="C553" s="15" t="s">
        <v>77</v>
      </c>
    </row>
    <row r="554" spans="1:3" x14ac:dyDescent="0.8">
      <c r="A554" s="22" t="s">
        <v>133</v>
      </c>
      <c r="B554" s="13"/>
      <c r="C554" s="6"/>
    </row>
    <row r="555" spans="1:3" x14ac:dyDescent="0.8">
      <c r="A555" s="5" t="s">
        <v>6</v>
      </c>
      <c r="B555" s="13">
        <f>B546</f>
        <v>47.244094488000002</v>
      </c>
      <c r="C555" s="6" t="s">
        <v>7</v>
      </c>
    </row>
    <row r="556" spans="1:3" x14ac:dyDescent="0.8">
      <c r="A556" s="5" t="s">
        <v>8</v>
      </c>
      <c r="B556" s="13">
        <f>B547</f>
        <v>27.559055118</v>
      </c>
      <c r="C556" s="6" t="s">
        <v>7</v>
      </c>
    </row>
    <row r="557" spans="1:3" x14ac:dyDescent="0.8">
      <c r="A557" s="5" t="s">
        <v>9</v>
      </c>
      <c r="B557" s="13">
        <f>(B556*B555)/144</f>
        <v>9.0416847499638333</v>
      </c>
      <c r="C557" s="6" t="s">
        <v>10</v>
      </c>
    </row>
    <row r="558" spans="1:3" x14ac:dyDescent="0.8">
      <c r="A558" s="5" t="s">
        <v>11</v>
      </c>
      <c r="B558" s="13">
        <f>B549</f>
        <v>16192.480982926001</v>
      </c>
      <c r="C558" s="6" t="s">
        <v>72</v>
      </c>
    </row>
    <row r="559" spans="1:3" x14ac:dyDescent="0.8">
      <c r="A559" s="5" t="s">
        <v>13</v>
      </c>
      <c r="B559" s="13">
        <f>B558/B557</f>
        <v>1790.8698910333908</v>
      </c>
      <c r="C559" s="6" t="s">
        <v>14</v>
      </c>
    </row>
    <row r="560" spans="1:3" x14ac:dyDescent="0.8">
      <c r="A560" s="5" t="s">
        <v>15</v>
      </c>
      <c r="B560" s="7">
        <f>(B559/4005)^2</f>
        <v>0.1999507461247691</v>
      </c>
      <c r="C560" s="6" t="s">
        <v>16</v>
      </c>
    </row>
    <row r="561" spans="1:3" x14ac:dyDescent="0.8">
      <c r="A561" s="5" t="s">
        <v>74</v>
      </c>
      <c r="B561" s="7">
        <f>B552</f>
        <v>0.09</v>
      </c>
      <c r="C561" s="6" t="s">
        <v>132</v>
      </c>
    </row>
    <row r="562" spans="1:3" x14ac:dyDescent="0.8">
      <c r="A562" s="5" t="s">
        <v>76</v>
      </c>
      <c r="B562" s="7">
        <f>B561*B560</f>
        <v>1.7995567151229217E-2</v>
      </c>
      <c r="C562" s="6" t="s">
        <v>77</v>
      </c>
    </row>
    <row r="563" spans="1:3" x14ac:dyDescent="0.8">
      <c r="A563" s="12" t="s">
        <v>134</v>
      </c>
      <c r="B563" s="13"/>
      <c r="C563" s="6"/>
    </row>
    <row r="564" spans="1:3" x14ac:dyDescent="0.8">
      <c r="A564" s="5" t="s">
        <v>81</v>
      </c>
      <c r="B564" s="13">
        <f>(1500*'[2]Design Info, Unit conversions'!$D$56)/12</f>
        <v>4.9212598425000005</v>
      </c>
      <c r="C564" s="6" t="s">
        <v>23</v>
      </c>
    </row>
    <row r="565" spans="1:3" x14ac:dyDescent="0.8">
      <c r="A565" s="5" t="s">
        <v>82</v>
      </c>
      <c r="B565" s="7">
        <v>1.3</v>
      </c>
      <c r="C565" s="6" t="s">
        <v>83</v>
      </c>
    </row>
    <row r="566" spans="1:3" x14ac:dyDescent="0.8">
      <c r="A566" s="5" t="s">
        <v>116</v>
      </c>
      <c r="B566" s="14">
        <f>B565*B562</f>
        <v>2.3394237296597984E-2</v>
      </c>
      <c r="C566" s="15" t="s">
        <v>77</v>
      </c>
    </row>
    <row r="567" spans="1:3" x14ac:dyDescent="0.8">
      <c r="A567" s="22" t="s">
        <v>117</v>
      </c>
      <c r="B567" s="13"/>
      <c r="C567" s="6"/>
    </row>
    <row r="568" spans="1:3" x14ac:dyDescent="0.8">
      <c r="A568" s="5" t="s">
        <v>6</v>
      </c>
      <c r="B568" s="13">
        <v>47</v>
      </c>
      <c r="C568" s="6" t="s">
        <v>7</v>
      </c>
    </row>
    <row r="569" spans="1:3" x14ac:dyDescent="0.8">
      <c r="A569" s="5" t="s">
        <v>103</v>
      </c>
      <c r="B569" s="13">
        <f>B556</f>
        <v>27.559055118</v>
      </c>
      <c r="C569" s="6" t="s">
        <v>7</v>
      </c>
    </row>
    <row r="570" spans="1:3" x14ac:dyDescent="0.8">
      <c r="A570" s="5" t="s">
        <v>104</v>
      </c>
      <c r="B570" s="13">
        <f>(B569*B568)/144</f>
        <v>8.9949693787916676</v>
      </c>
      <c r="C570" s="6" t="s">
        <v>10</v>
      </c>
    </row>
    <row r="571" spans="1:3" x14ac:dyDescent="0.8">
      <c r="A571" s="5" t="s">
        <v>118</v>
      </c>
      <c r="B571" s="13">
        <f>750*'[2]Design Info, Unit conversions'!$D$56</f>
        <v>29.527559055000001</v>
      </c>
      <c r="C571" s="6" t="s">
        <v>7</v>
      </c>
    </row>
    <row r="572" spans="1:3" x14ac:dyDescent="0.8">
      <c r="A572" s="5" t="s">
        <v>105</v>
      </c>
      <c r="B572" s="13">
        <f>750*'[2]Design Info, Unit conversions'!$D$56</f>
        <v>29.527559055000001</v>
      </c>
      <c r="C572" s="6" t="s">
        <v>7</v>
      </c>
    </row>
    <row r="573" spans="1:3" x14ac:dyDescent="0.8">
      <c r="A573" s="5" t="s">
        <v>106</v>
      </c>
      <c r="B573" s="13">
        <f>(B572*B571)/144</f>
        <v>6.0546996093507817</v>
      </c>
      <c r="C573" s="6" t="s">
        <v>10</v>
      </c>
    </row>
    <row r="574" spans="1:3" x14ac:dyDescent="0.8">
      <c r="A574" s="5" t="s">
        <v>168</v>
      </c>
      <c r="B574" s="13">
        <v>24</v>
      </c>
      <c r="C574" s="6" t="s">
        <v>7</v>
      </c>
    </row>
    <row r="575" spans="1:3" x14ac:dyDescent="0.8">
      <c r="A575" s="5" t="s">
        <v>11</v>
      </c>
      <c r="B575" s="13">
        <f>B558</f>
        <v>16192.480982926001</v>
      </c>
      <c r="C575" s="6" t="s">
        <v>72</v>
      </c>
    </row>
    <row r="576" spans="1:3" x14ac:dyDescent="0.8">
      <c r="A576" s="5" t="s">
        <v>107</v>
      </c>
      <c r="B576" s="13">
        <f>B575/B570</f>
        <v>1800.1707733552291</v>
      </c>
      <c r="C576" s="6" t="s">
        <v>14</v>
      </c>
    </row>
    <row r="577" spans="1:3" x14ac:dyDescent="0.8">
      <c r="A577" s="5" t="s">
        <v>108</v>
      </c>
      <c r="B577" s="7">
        <f>(B576/4005)^2</f>
        <v>0.20203302758208694</v>
      </c>
      <c r="C577" s="6" t="s">
        <v>16</v>
      </c>
    </row>
    <row r="578" spans="1:3" x14ac:dyDescent="0.8">
      <c r="A578" s="5" t="s">
        <v>109</v>
      </c>
      <c r="B578" s="13">
        <f>B575/B573</f>
        <v>2674.3657039431969</v>
      </c>
      <c r="C578" s="6" t="s">
        <v>14</v>
      </c>
    </row>
    <row r="579" spans="1:3" x14ac:dyDescent="0.8">
      <c r="A579" s="5" t="s">
        <v>111</v>
      </c>
      <c r="B579" s="7">
        <f>(B578/4005)^2</f>
        <v>0.44589905055806273</v>
      </c>
      <c r="C579" s="6" t="s">
        <v>16</v>
      </c>
    </row>
    <row r="580" spans="1:3" x14ac:dyDescent="0.8">
      <c r="A580" s="5" t="s">
        <v>74</v>
      </c>
      <c r="B580" s="7">
        <v>0.04</v>
      </c>
      <c r="C580" s="6" t="s">
        <v>169</v>
      </c>
    </row>
    <row r="581" spans="1:3" x14ac:dyDescent="0.8">
      <c r="A581" s="5" t="s">
        <v>76</v>
      </c>
      <c r="B581" s="14">
        <f>B580*B577</f>
        <v>8.0813211032834779E-3</v>
      </c>
      <c r="C581" s="15" t="s">
        <v>77</v>
      </c>
    </row>
    <row r="582" spans="1:3" x14ac:dyDescent="0.8">
      <c r="A582" s="22" t="s">
        <v>131</v>
      </c>
      <c r="B582" s="13"/>
      <c r="C582" s="6"/>
    </row>
    <row r="583" spans="1:3" x14ac:dyDescent="0.8">
      <c r="A583" s="5" t="s">
        <v>6</v>
      </c>
      <c r="B583" s="13">
        <f>B571</f>
        <v>29.527559055000001</v>
      </c>
      <c r="C583" s="6" t="s">
        <v>7</v>
      </c>
    </row>
    <row r="584" spans="1:3" x14ac:dyDescent="0.8">
      <c r="A584" s="5" t="s">
        <v>8</v>
      </c>
      <c r="B584" s="13">
        <f>B572</f>
        <v>29.527559055000001</v>
      </c>
      <c r="C584" s="6" t="s">
        <v>7</v>
      </c>
    </row>
    <row r="585" spans="1:3" x14ac:dyDescent="0.8">
      <c r="A585" s="5" t="s">
        <v>9</v>
      </c>
      <c r="B585" s="13">
        <f>(B584*B583)/144</f>
        <v>6.0546996093507817</v>
      </c>
      <c r="C585" s="6" t="s">
        <v>10</v>
      </c>
    </row>
    <row r="586" spans="1:3" x14ac:dyDescent="0.8">
      <c r="A586" s="5" t="s">
        <v>11</v>
      </c>
      <c r="B586" s="13">
        <f>B575</f>
        <v>16192.480982926001</v>
      </c>
      <c r="C586" s="6" t="s">
        <v>72</v>
      </c>
    </row>
    <row r="587" spans="1:3" x14ac:dyDescent="0.8">
      <c r="A587" s="5" t="s">
        <v>13</v>
      </c>
      <c r="B587" s="13">
        <f>B586/B585</f>
        <v>2674.3657039431969</v>
      </c>
      <c r="C587" s="6" t="s">
        <v>14</v>
      </c>
    </row>
    <row r="588" spans="1:3" x14ac:dyDescent="0.8">
      <c r="A588" s="5" t="s">
        <v>15</v>
      </c>
      <c r="B588" s="7">
        <f>(B587/4005)^2</f>
        <v>0.44589905055806273</v>
      </c>
      <c r="C588" s="6" t="s">
        <v>16</v>
      </c>
    </row>
    <row r="589" spans="1:3" x14ac:dyDescent="0.8">
      <c r="A589" s="5" t="s">
        <v>74</v>
      </c>
      <c r="B589" s="7">
        <v>0.1</v>
      </c>
      <c r="C589" s="6" t="s">
        <v>132</v>
      </c>
    </row>
    <row r="590" spans="1:3" x14ac:dyDescent="0.8">
      <c r="A590" s="5" t="s">
        <v>76</v>
      </c>
      <c r="B590" s="14">
        <f>B589*B588</f>
        <v>4.4589905055806275E-2</v>
      </c>
      <c r="C590" s="15" t="s">
        <v>77</v>
      </c>
    </row>
    <row r="591" spans="1:3" x14ac:dyDescent="0.8">
      <c r="A591" s="22" t="s">
        <v>133</v>
      </c>
      <c r="B591" s="13"/>
      <c r="C591" s="6"/>
    </row>
    <row r="592" spans="1:3" x14ac:dyDescent="0.8">
      <c r="A592" s="5" t="s">
        <v>6</v>
      </c>
      <c r="B592" s="13">
        <f>B583</f>
        <v>29.527559055000001</v>
      </c>
      <c r="C592" s="6" t="s">
        <v>7</v>
      </c>
    </row>
    <row r="593" spans="1:3" x14ac:dyDescent="0.8">
      <c r="A593" s="5" t="s">
        <v>8</v>
      </c>
      <c r="B593" s="13">
        <f>B584</f>
        <v>29.527559055000001</v>
      </c>
      <c r="C593" s="6" t="s">
        <v>7</v>
      </c>
    </row>
    <row r="594" spans="1:3" x14ac:dyDescent="0.8">
      <c r="A594" s="5" t="s">
        <v>9</v>
      </c>
      <c r="B594" s="13">
        <f>(B593*B592)/144</f>
        <v>6.0546996093507817</v>
      </c>
      <c r="C594" s="6" t="s">
        <v>10</v>
      </c>
    </row>
    <row r="595" spans="1:3" x14ac:dyDescent="0.8">
      <c r="A595" s="5" t="s">
        <v>11</v>
      </c>
      <c r="B595" s="13">
        <f>B586</f>
        <v>16192.480982926001</v>
      </c>
      <c r="C595" s="6" t="s">
        <v>72</v>
      </c>
    </row>
    <row r="596" spans="1:3" x14ac:dyDescent="0.8">
      <c r="A596" s="5" t="s">
        <v>13</v>
      </c>
      <c r="B596" s="13">
        <f>B595/B594</f>
        <v>2674.3657039431969</v>
      </c>
      <c r="C596" s="6" t="s">
        <v>14</v>
      </c>
    </row>
    <row r="597" spans="1:3" x14ac:dyDescent="0.8">
      <c r="A597" s="5" t="s">
        <v>15</v>
      </c>
      <c r="B597" s="7">
        <f>(B596/4005)^2</f>
        <v>0.44589905055806273</v>
      </c>
      <c r="C597" s="6" t="s">
        <v>16</v>
      </c>
    </row>
    <row r="598" spans="1:3" x14ac:dyDescent="0.8">
      <c r="A598" s="5" t="s">
        <v>74</v>
      </c>
      <c r="B598" s="7">
        <f>B589</f>
        <v>0.1</v>
      </c>
      <c r="C598" s="6" t="s">
        <v>132</v>
      </c>
    </row>
    <row r="599" spans="1:3" x14ac:dyDescent="0.8">
      <c r="A599" s="5" t="s">
        <v>76</v>
      </c>
      <c r="B599" s="7">
        <f>B598*B597</f>
        <v>4.4589905055806275E-2</v>
      </c>
      <c r="C599" s="6" t="s">
        <v>77</v>
      </c>
    </row>
    <row r="600" spans="1:3" x14ac:dyDescent="0.8">
      <c r="A600" s="12" t="s">
        <v>170</v>
      </c>
      <c r="B600" s="13"/>
      <c r="C600" s="6"/>
    </row>
    <row r="601" spans="1:3" x14ac:dyDescent="0.8">
      <c r="A601" s="5" t="s">
        <v>81</v>
      </c>
      <c r="B601" s="13">
        <f>(1500*'[2]Design Info, Unit conversions'!$D$56)/12</f>
        <v>4.9212598425000005</v>
      </c>
      <c r="C601" s="6" t="s">
        <v>23</v>
      </c>
    </row>
    <row r="602" spans="1:3" x14ac:dyDescent="0.8">
      <c r="A602" s="5" t="s">
        <v>82</v>
      </c>
      <c r="B602" s="7">
        <v>1.3</v>
      </c>
      <c r="C602" s="6" t="s">
        <v>83</v>
      </c>
    </row>
    <row r="603" spans="1:3" x14ac:dyDescent="0.8">
      <c r="A603" s="5" t="s">
        <v>116</v>
      </c>
      <c r="B603" s="14">
        <f>B602*B599</f>
        <v>5.7966876572548162E-2</v>
      </c>
      <c r="C603" s="15" t="s">
        <v>77</v>
      </c>
    </row>
    <row r="604" spans="1:3" x14ac:dyDescent="0.8">
      <c r="A604" s="12" t="s">
        <v>171</v>
      </c>
    </row>
    <row r="605" spans="1:3" x14ac:dyDescent="0.8">
      <c r="A605" s="12" t="s">
        <v>29</v>
      </c>
    </row>
    <row r="606" spans="1:3" x14ac:dyDescent="0.8">
      <c r="A606" s="5" t="s">
        <v>162</v>
      </c>
      <c r="B606" s="17">
        <f>B542</f>
        <v>4.5988671608696893E-2</v>
      </c>
      <c r="C606" s="6" t="s">
        <v>16</v>
      </c>
    </row>
    <row r="607" spans="1:3" x14ac:dyDescent="0.8">
      <c r="A607" s="5" t="s">
        <v>172</v>
      </c>
      <c r="B607" s="17">
        <f>B553</f>
        <v>1.7995567151229217E-2</v>
      </c>
      <c r="C607" s="6" t="s">
        <v>16</v>
      </c>
    </row>
    <row r="608" spans="1:3" x14ac:dyDescent="0.8">
      <c r="A608" s="5" t="s">
        <v>173</v>
      </c>
      <c r="B608" s="17">
        <f>B566</f>
        <v>2.3394237296597984E-2</v>
      </c>
      <c r="C608" s="6" t="s">
        <v>16</v>
      </c>
    </row>
    <row r="609" spans="1:14" x14ac:dyDescent="0.8">
      <c r="A609" s="5" t="s">
        <v>174</v>
      </c>
      <c r="B609" s="17">
        <f>B581</f>
        <v>8.0813211032834779E-3</v>
      </c>
      <c r="C609" s="6" t="s">
        <v>16</v>
      </c>
    </row>
    <row r="610" spans="1:14" x14ac:dyDescent="0.8">
      <c r="A610" s="5" t="s">
        <v>175</v>
      </c>
      <c r="B610" s="17">
        <f>B590</f>
        <v>4.4589905055806275E-2</v>
      </c>
      <c r="C610" s="6" t="s">
        <v>16</v>
      </c>
    </row>
    <row r="611" spans="1:14" x14ac:dyDescent="0.8">
      <c r="A611" s="5" t="s">
        <v>176</v>
      </c>
      <c r="B611" s="17">
        <f>B603</f>
        <v>5.7966876572548162E-2</v>
      </c>
      <c r="C611" s="6" t="s">
        <v>16</v>
      </c>
    </row>
    <row r="612" spans="1:14" x14ac:dyDescent="0.8">
      <c r="A612" s="5" t="s">
        <v>96</v>
      </c>
      <c r="B612" s="23">
        <f>SUM(B606:B611)</f>
        <v>0.19801657878816203</v>
      </c>
      <c r="C612" s="19" t="s">
        <v>16</v>
      </c>
    </row>
    <row r="613" spans="1:14" s="11" customFormat="1" x14ac:dyDescent="0.8">
      <c r="A613" s="8" t="s">
        <v>177</v>
      </c>
      <c r="B613" s="9"/>
      <c r="C613" s="10"/>
      <c r="D613" s="10"/>
      <c r="E613" s="10"/>
      <c r="F613" s="10"/>
      <c r="G613" s="10"/>
      <c r="H613" s="10"/>
      <c r="I613" s="10"/>
      <c r="J613" s="10"/>
      <c r="K613" s="10"/>
      <c r="L613" s="10"/>
      <c r="M613" s="10"/>
      <c r="N613" s="10"/>
    </row>
    <row r="614" spans="1:14" x14ac:dyDescent="0.8">
      <c r="A614" s="12" t="s">
        <v>138</v>
      </c>
      <c r="B614" s="13"/>
      <c r="C614" s="6"/>
    </row>
    <row r="615" spans="1:14" x14ac:dyDescent="0.8">
      <c r="A615" s="5" t="s">
        <v>139</v>
      </c>
      <c r="B615" s="13">
        <f>B592</f>
        <v>29.527559055000001</v>
      </c>
      <c r="C615" s="6" t="s">
        <v>7</v>
      </c>
    </row>
    <row r="616" spans="1:14" x14ac:dyDescent="0.8">
      <c r="A616" s="5" t="s">
        <v>140</v>
      </c>
      <c r="B616" s="13">
        <f>B593</f>
        <v>29.527559055000001</v>
      </c>
      <c r="C616" s="6" t="s">
        <v>7</v>
      </c>
    </row>
    <row r="617" spans="1:14" x14ac:dyDescent="0.8">
      <c r="A617" s="5" t="s">
        <v>141</v>
      </c>
      <c r="B617" s="13">
        <f>(B616*B615)/144</f>
        <v>6.0546996093507817</v>
      </c>
      <c r="C617" s="6" t="s">
        <v>10</v>
      </c>
    </row>
    <row r="618" spans="1:14" x14ac:dyDescent="0.8">
      <c r="A618" s="5" t="s">
        <v>142</v>
      </c>
      <c r="B618" s="13">
        <f>B595</f>
        <v>16192.480982926001</v>
      </c>
      <c r="C618" s="6" t="s">
        <v>72</v>
      </c>
    </row>
    <row r="619" spans="1:14" x14ac:dyDescent="0.8">
      <c r="A619" s="5" t="s">
        <v>143</v>
      </c>
      <c r="B619" s="13">
        <f>B618/B617</f>
        <v>2674.3657039431969</v>
      </c>
      <c r="C619" s="6" t="s">
        <v>14</v>
      </c>
    </row>
    <row r="620" spans="1:14" x14ac:dyDescent="0.8">
      <c r="A620" s="5" t="s">
        <v>144</v>
      </c>
      <c r="B620" s="7">
        <f>(B619/4005)^2</f>
        <v>0.44589905055806273</v>
      </c>
      <c r="C620" s="6" t="s">
        <v>16</v>
      </c>
    </row>
    <row r="621" spans="1:14" x14ac:dyDescent="0.8">
      <c r="A621" s="5" t="s">
        <v>145</v>
      </c>
      <c r="B621" s="13">
        <f>650*'[2]Design Info, Unit conversions'!$D$56</f>
        <v>25.590551181000002</v>
      </c>
      <c r="C621" s="6" t="s">
        <v>7</v>
      </c>
    </row>
    <row r="622" spans="1:14" x14ac:dyDescent="0.8">
      <c r="A622" s="5" t="s">
        <v>146</v>
      </c>
      <c r="B622" s="13">
        <f>550*'[2]Design Info, Unit conversions'!$D$56</f>
        <v>21.653543307</v>
      </c>
      <c r="C622" s="6" t="s">
        <v>7</v>
      </c>
    </row>
    <row r="623" spans="1:14" x14ac:dyDescent="0.8">
      <c r="A623" s="5" t="s">
        <v>147</v>
      </c>
      <c r="B623" s="13">
        <f>(B622*B621)/144</f>
        <v>3.8480979739429415</v>
      </c>
      <c r="C623" s="6" t="s">
        <v>10</v>
      </c>
    </row>
    <row r="624" spans="1:14" x14ac:dyDescent="0.8">
      <c r="A624" s="5" t="s">
        <v>148</v>
      </c>
      <c r="B624" s="13">
        <f>B618-'[2]Terminal Units'!F124</f>
        <v>7261.4017702810015</v>
      </c>
      <c r="C624" s="6" t="s">
        <v>72</v>
      </c>
    </row>
    <row r="625" spans="1:3" x14ac:dyDescent="0.8">
      <c r="A625" s="5" t="s">
        <v>149</v>
      </c>
      <c r="B625" s="13">
        <f>B624/B623</f>
        <v>1887.0106269255482</v>
      </c>
      <c r="C625" s="6" t="s">
        <v>14</v>
      </c>
    </row>
    <row r="626" spans="1:3" x14ac:dyDescent="0.8">
      <c r="A626" s="5" t="s">
        <v>150</v>
      </c>
      <c r="B626" s="7">
        <f>(B625/4005)^2</f>
        <v>0.22199523418011821</v>
      </c>
      <c r="C626" s="6" t="s">
        <v>16</v>
      </c>
    </row>
    <row r="627" spans="1:3" x14ac:dyDescent="0.8">
      <c r="A627" s="5" t="s">
        <v>151</v>
      </c>
      <c r="B627" s="13">
        <f>750*'[2]Design Info, Unit conversions'!$D$56</f>
        <v>29.527559055000001</v>
      </c>
      <c r="C627" s="6" t="s">
        <v>7</v>
      </c>
    </row>
    <row r="628" spans="1:3" x14ac:dyDescent="0.8">
      <c r="A628" s="5" t="s">
        <v>152</v>
      </c>
      <c r="B628" s="13">
        <f>600*'[2]Design Info, Unit conversions'!$D$56</f>
        <v>23.622047244000001</v>
      </c>
      <c r="C628" s="6" t="s">
        <v>7</v>
      </c>
    </row>
    <row r="629" spans="1:3" x14ac:dyDescent="0.8">
      <c r="A629" s="5" t="s">
        <v>153</v>
      </c>
      <c r="B629" s="13">
        <f>(B628*B627)/144</f>
        <v>4.8437596874806248</v>
      </c>
      <c r="C629" s="6" t="s">
        <v>10</v>
      </c>
    </row>
    <row r="630" spans="1:3" x14ac:dyDescent="0.8">
      <c r="A630" s="5" t="s">
        <v>154</v>
      </c>
      <c r="B630" s="13">
        <f>'[2]Terminal Units'!F124</f>
        <v>8931.0792126449996</v>
      </c>
      <c r="C630" s="6" t="s">
        <v>72</v>
      </c>
    </row>
    <row r="631" spans="1:3" x14ac:dyDescent="0.8">
      <c r="A631" s="5" t="s">
        <v>155</v>
      </c>
      <c r="B631" s="13">
        <f>B630/B629</f>
        <v>1843.832020760366</v>
      </c>
      <c r="C631" s="6" t="s">
        <v>14</v>
      </c>
    </row>
    <row r="632" spans="1:3" x14ac:dyDescent="0.8">
      <c r="A632" s="5" t="s">
        <v>156</v>
      </c>
      <c r="B632" s="7">
        <f>(B631/4005)^2</f>
        <v>0.21195207119572787</v>
      </c>
      <c r="C632" s="6" t="s">
        <v>16</v>
      </c>
    </row>
    <row r="633" spans="1:3" x14ac:dyDescent="0.8">
      <c r="A633" s="5" t="s">
        <v>157</v>
      </c>
      <c r="B633" s="7">
        <v>0.28000000000000003</v>
      </c>
      <c r="C633" s="6" t="s">
        <v>158</v>
      </c>
    </row>
    <row r="634" spans="1:3" x14ac:dyDescent="0.8">
      <c r="A634" s="5" t="s">
        <v>159</v>
      </c>
      <c r="B634" s="14">
        <f>B633*B626</f>
        <v>6.2158665570433105E-2</v>
      </c>
      <c r="C634" s="15" t="s">
        <v>120</v>
      </c>
    </row>
    <row r="635" spans="1:3" x14ac:dyDescent="0.8">
      <c r="A635" s="5" t="s">
        <v>160</v>
      </c>
      <c r="B635" s="7">
        <v>1.58</v>
      </c>
      <c r="C635" s="6" t="s">
        <v>158</v>
      </c>
    </row>
    <row r="636" spans="1:3" x14ac:dyDescent="0.8">
      <c r="A636" s="5" t="s">
        <v>161</v>
      </c>
      <c r="B636" s="25">
        <f>B635*B632</f>
        <v>0.33488427248925007</v>
      </c>
      <c r="C636" s="26" t="s">
        <v>120</v>
      </c>
    </row>
    <row r="637" spans="1:3" x14ac:dyDescent="0.8">
      <c r="A637" s="12" t="s">
        <v>89</v>
      </c>
      <c r="B637" s="13"/>
      <c r="C637" s="6"/>
    </row>
    <row r="638" spans="1:3" x14ac:dyDescent="0.8">
      <c r="A638" s="5" t="s">
        <v>6</v>
      </c>
      <c r="B638" s="13">
        <f>B621</f>
        <v>25.590551181000002</v>
      </c>
      <c r="C638" s="6" t="s">
        <v>7</v>
      </c>
    </row>
    <row r="639" spans="1:3" x14ac:dyDescent="0.8">
      <c r="A639" s="5" t="s">
        <v>8</v>
      </c>
      <c r="B639" s="13">
        <f>B622</f>
        <v>21.653543307</v>
      </c>
      <c r="C639" s="6" t="s">
        <v>7</v>
      </c>
    </row>
    <row r="640" spans="1:3" x14ac:dyDescent="0.8">
      <c r="A640" s="5" t="s">
        <v>9</v>
      </c>
      <c r="B640" s="13">
        <f>(B639*B638)/144</f>
        <v>3.8480979739429415</v>
      </c>
      <c r="C640" s="6" t="s">
        <v>10</v>
      </c>
    </row>
    <row r="641" spans="1:3" x14ac:dyDescent="0.8">
      <c r="A641" s="5" t="s">
        <v>21</v>
      </c>
      <c r="B641" s="13">
        <f>B624</f>
        <v>7261.4017702810015</v>
      </c>
      <c r="C641" s="6" t="s">
        <v>33</v>
      </c>
    </row>
    <row r="642" spans="1:3" x14ac:dyDescent="0.8">
      <c r="A642" s="5" t="s">
        <v>13</v>
      </c>
      <c r="B642" s="13">
        <f>B641/B640</f>
        <v>1887.0106269255482</v>
      </c>
      <c r="C642" s="6" t="s">
        <v>14</v>
      </c>
    </row>
    <row r="643" spans="1:3" x14ac:dyDescent="0.8">
      <c r="A643" s="5" t="s">
        <v>15</v>
      </c>
      <c r="B643" s="7">
        <f>(B642/4005)^2</f>
        <v>0.22199523418011821</v>
      </c>
      <c r="C643" s="6" t="s">
        <v>16</v>
      </c>
    </row>
    <row r="644" spans="1:3" x14ac:dyDescent="0.8">
      <c r="A644" s="5" t="s">
        <v>22</v>
      </c>
      <c r="B644" s="7">
        <f>'[2]Floor Elevations'!D5</f>
        <v>13.451443569499986</v>
      </c>
      <c r="C644" s="6" t="s">
        <v>23</v>
      </c>
    </row>
    <row r="645" spans="1:3" x14ac:dyDescent="0.8">
      <c r="A645" s="5" t="s">
        <v>28</v>
      </c>
      <c r="B645" s="14">
        <v>0.02</v>
      </c>
      <c r="C645" s="15" t="s">
        <v>34</v>
      </c>
    </row>
    <row r="646" spans="1:3" x14ac:dyDescent="0.8">
      <c r="A646" s="22" t="s">
        <v>125</v>
      </c>
      <c r="B646" s="13"/>
      <c r="C646" s="6"/>
    </row>
    <row r="647" spans="1:3" x14ac:dyDescent="0.8">
      <c r="A647" s="5" t="s">
        <v>6</v>
      </c>
      <c r="B647" s="13">
        <f>B638</f>
        <v>25.590551181000002</v>
      </c>
      <c r="C647" s="6" t="s">
        <v>7</v>
      </c>
    </row>
    <row r="648" spans="1:3" x14ac:dyDescent="0.8">
      <c r="A648" s="5" t="s">
        <v>8</v>
      </c>
      <c r="B648" s="13">
        <f>B639</f>
        <v>21.653543307</v>
      </c>
      <c r="C648" s="6" t="s">
        <v>7</v>
      </c>
    </row>
    <row r="649" spans="1:3" x14ac:dyDescent="0.8">
      <c r="A649" s="5" t="s">
        <v>9</v>
      </c>
      <c r="B649" s="13">
        <f>(B648*B647)/144</f>
        <v>3.8480979739429415</v>
      </c>
      <c r="C649" s="6" t="s">
        <v>10</v>
      </c>
    </row>
    <row r="650" spans="1:3" x14ac:dyDescent="0.8">
      <c r="A650" s="5" t="s">
        <v>11</v>
      </c>
      <c r="B650" s="13">
        <f>B641</f>
        <v>7261.4017702810015</v>
      </c>
      <c r="C650" s="6" t="s">
        <v>72</v>
      </c>
    </row>
    <row r="651" spans="1:3" x14ac:dyDescent="0.8">
      <c r="A651" s="5" t="s">
        <v>13</v>
      </c>
      <c r="B651" s="13">
        <f>B650/B649</f>
        <v>1887.0106269255482</v>
      </c>
      <c r="C651" s="6" t="s">
        <v>14</v>
      </c>
    </row>
    <row r="652" spans="1:3" x14ac:dyDescent="0.8">
      <c r="A652" s="5" t="s">
        <v>15</v>
      </c>
      <c r="B652" s="7">
        <f>(B651/4005)^2</f>
        <v>0.22199523418011821</v>
      </c>
      <c r="C652" s="6" t="s">
        <v>16</v>
      </c>
    </row>
    <row r="653" spans="1:3" x14ac:dyDescent="0.8">
      <c r="A653" s="5" t="s">
        <v>74</v>
      </c>
      <c r="B653" s="7">
        <v>0.18</v>
      </c>
      <c r="C653" s="6" t="s">
        <v>126</v>
      </c>
    </row>
    <row r="654" spans="1:3" x14ac:dyDescent="0.8">
      <c r="A654" s="5" t="s">
        <v>76</v>
      </c>
      <c r="B654" s="14">
        <f>B653*B652</f>
        <v>3.995914215242128E-2</v>
      </c>
      <c r="C654" s="15" t="s">
        <v>120</v>
      </c>
    </row>
    <row r="655" spans="1:3" x14ac:dyDescent="0.8">
      <c r="A655" s="22" t="s">
        <v>98</v>
      </c>
      <c r="B655" s="13"/>
      <c r="C655" s="6"/>
    </row>
    <row r="656" spans="1:3" x14ac:dyDescent="0.8">
      <c r="A656" s="5" t="s">
        <v>6</v>
      </c>
      <c r="B656" s="13">
        <f>B647</f>
        <v>25.590551181000002</v>
      </c>
      <c r="C656" s="6" t="s">
        <v>7</v>
      </c>
    </row>
    <row r="657" spans="1:3" x14ac:dyDescent="0.8">
      <c r="A657" s="5" t="s">
        <v>8</v>
      </c>
      <c r="B657" s="13">
        <f>B648</f>
        <v>21.653543307</v>
      </c>
      <c r="C657" s="6" t="s">
        <v>7</v>
      </c>
    </row>
    <row r="658" spans="1:3" x14ac:dyDescent="0.8">
      <c r="A658" s="5" t="s">
        <v>9</v>
      </c>
      <c r="B658" s="13">
        <f>(B657*B656)/144</f>
        <v>3.8480979739429415</v>
      </c>
      <c r="C658" s="6" t="s">
        <v>10</v>
      </c>
    </row>
    <row r="659" spans="1:3" x14ac:dyDescent="0.8">
      <c r="A659" s="5" t="s">
        <v>11</v>
      </c>
      <c r="B659" s="13">
        <f>B650</f>
        <v>7261.4017702810015</v>
      </c>
      <c r="C659" s="6" t="s">
        <v>72</v>
      </c>
    </row>
    <row r="660" spans="1:3" x14ac:dyDescent="0.8">
      <c r="A660" s="5" t="s">
        <v>13</v>
      </c>
      <c r="B660" s="13">
        <f>B659/B658</f>
        <v>1887.0106269255482</v>
      </c>
      <c r="C660" s="6" t="s">
        <v>14</v>
      </c>
    </row>
    <row r="661" spans="1:3" x14ac:dyDescent="0.8">
      <c r="A661" s="5" t="s">
        <v>15</v>
      </c>
      <c r="B661" s="7">
        <f>(B660/4005)^2</f>
        <v>0.22199523418011821</v>
      </c>
      <c r="C661" s="6" t="s">
        <v>16</v>
      </c>
    </row>
    <row r="662" spans="1:3" x14ac:dyDescent="0.8">
      <c r="A662" s="5" t="s">
        <v>74</v>
      </c>
      <c r="B662" s="7">
        <v>0.11</v>
      </c>
      <c r="C662" s="6" t="s">
        <v>178</v>
      </c>
    </row>
    <row r="663" spans="1:3" x14ac:dyDescent="0.8">
      <c r="A663" s="5" t="s">
        <v>76</v>
      </c>
      <c r="B663" s="7">
        <f>B662*B661</f>
        <v>2.4419475759813004E-2</v>
      </c>
      <c r="C663" s="6" t="s">
        <v>77</v>
      </c>
    </row>
    <row r="664" spans="1:3" x14ac:dyDescent="0.8">
      <c r="A664" s="12" t="s">
        <v>179</v>
      </c>
      <c r="B664" s="13"/>
      <c r="C664" s="6"/>
    </row>
    <row r="665" spans="1:3" x14ac:dyDescent="0.8">
      <c r="A665" s="5" t="s">
        <v>81</v>
      </c>
      <c r="B665" s="13">
        <f>(1500*'[2]Design Info, Unit conversions'!$D$56)/12</f>
        <v>4.9212598425000005</v>
      </c>
      <c r="C665" s="6" t="s">
        <v>23</v>
      </c>
    </row>
    <row r="666" spans="1:3" x14ac:dyDescent="0.8">
      <c r="A666" s="5" t="s">
        <v>82</v>
      </c>
      <c r="B666" s="7">
        <v>1.3</v>
      </c>
      <c r="C666" s="6" t="s">
        <v>83</v>
      </c>
    </row>
    <row r="667" spans="1:3" x14ac:dyDescent="0.8">
      <c r="A667" s="5" t="s">
        <v>116</v>
      </c>
      <c r="B667" s="14">
        <f>B666*B663</f>
        <v>3.1745318487756906E-2</v>
      </c>
      <c r="C667" s="15" t="s">
        <v>77</v>
      </c>
    </row>
    <row r="668" spans="1:3" x14ac:dyDescent="0.8">
      <c r="A668" s="12" t="s">
        <v>29</v>
      </c>
    </row>
    <row r="669" spans="1:3" x14ac:dyDescent="0.8">
      <c r="A669" s="5" t="s">
        <v>162</v>
      </c>
      <c r="B669" s="17">
        <f>B634</f>
        <v>6.2158665570433105E-2</v>
      </c>
      <c r="C669" s="6" t="s">
        <v>16</v>
      </c>
    </row>
    <row r="670" spans="1:3" x14ac:dyDescent="0.8">
      <c r="A670" s="5" t="s">
        <v>92</v>
      </c>
      <c r="B670" s="17">
        <f>B645</f>
        <v>0.02</v>
      </c>
      <c r="C670" s="6" t="s">
        <v>16</v>
      </c>
    </row>
    <row r="671" spans="1:3" x14ac:dyDescent="0.8">
      <c r="A671" s="5" t="s">
        <v>180</v>
      </c>
      <c r="B671" s="17">
        <f>B654</f>
        <v>3.995914215242128E-2</v>
      </c>
      <c r="C671" s="6" t="s">
        <v>16</v>
      </c>
    </row>
    <row r="672" spans="1:3" x14ac:dyDescent="0.8">
      <c r="A672" s="5" t="s">
        <v>181</v>
      </c>
      <c r="B672" s="17">
        <f>B667</f>
        <v>3.1745318487756906E-2</v>
      </c>
      <c r="C672" s="6" t="s">
        <v>16</v>
      </c>
    </row>
    <row r="673" spans="1:14" x14ac:dyDescent="0.8">
      <c r="A673" s="5" t="s">
        <v>96</v>
      </c>
      <c r="B673" s="23">
        <f>SUM(B669:B672)</f>
        <v>0.1538631262106113</v>
      </c>
      <c r="C673" s="19" t="s">
        <v>16</v>
      </c>
    </row>
    <row r="674" spans="1:14" s="11" customFormat="1" x14ac:dyDescent="0.8">
      <c r="A674" s="8" t="s">
        <v>182</v>
      </c>
      <c r="B674" s="9"/>
      <c r="C674" s="10"/>
      <c r="D674" s="10"/>
      <c r="E674" s="10"/>
      <c r="F674" s="10"/>
      <c r="G674" s="10"/>
      <c r="H674" s="10"/>
      <c r="I674" s="10"/>
      <c r="J674" s="10"/>
      <c r="K674" s="10"/>
      <c r="L674" s="10"/>
      <c r="M674" s="10"/>
      <c r="N674" s="10"/>
    </row>
    <row r="675" spans="1:14" x14ac:dyDescent="0.8">
      <c r="A675" s="12" t="s">
        <v>138</v>
      </c>
      <c r="B675" s="13"/>
      <c r="C675" s="6"/>
    </row>
    <row r="676" spans="1:14" x14ac:dyDescent="0.8">
      <c r="A676" s="5" t="s">
        <v>139</v>
      </c>
      <c r="B676" s="13">
        <f>B656</f>
        <v>25.590551181000002</v>
      </c>
      <c r="C676" s="6" t="s">
        <v>7</v>
      </c>
    </row>
    <row r="677" spans="1:14" x14ac:dyDescent="0.8">
      <c r="A677" s="5" t="s">
        <v>140</v>
      </c>
      <c r="B677" s="13">
        <f>B657</f>
        <v>21.653543307</v>
      </c>
      <c r="C677" s="6" t="s">
        <v>7</v>
      </c>
    </row>
    <row r="678" spans="1:14" x14ac:dyDescent="0.8">
      <c r="A678" s="5" t="s">
        <v>141</v>
      </c>
      <c r="B678" s="13">
        <f>(B677*B676)/144</f>
        <v>3.8480979739429415</v>
      </c>
      <c r="C678" s="6" t="s">
        <v>10</v>
      </c>
    </row>
    <row r="679" spans="1:14" x14ac:dyDescent="0.8">
      <c r="A679" s="5" t="s">
        <v>142</v>
      </c>
      <c r="B679" s="13">
        <f>B659</f>
        <v>7261.4017702810015</v>
      </c>
      <c r="C679" s="6" t="s">
        <v>72</v>
      </c>
    </row>
    <row r="680" spans="1:14" x14ac:dyDescent="0.8">
      <c r="A680" s="5" t="s">
        <v>143</v>
      </c>
      <c r="B680" s="13">
        <f>B679/B678</f>
        <v>1887.0106269255482</v>
      </c>
      <c r="C680" s="6" t="s">
        <v>14</v>
      </c>
    </row>
    <row r="681" spans="1:14" x14ac:dyDescent="0.8">
      <c r="A681" s="5" t="s">
        <v>144</v>
      </c>
      <c r="B681" s="7">
        <f>(B680/4005)^2</f>
        <v>0.22199523418011821</v>
      </c>
      <c r="C681" s="6" t="s">
        <v>16</v>
      </c>
    </row>
    <row r="682" spans="1:14" x14ac:dyDescent="0.8">
      <c r="A682" s="5" t="s">
        <v>145</v>
      </c>
      <c r="B682" s="13">
        <f>650*'[2]Design Info, Unit conversions'!$D$56</f>
        <v>25.590551181000002</v>
      </c>
      <c r="C682" s="6" t="s">
        <v>7</v>
      </c>
    </row>
    <row r="683" spans="1:14" x14ac:dyDescent="0.8">
      <c r="A683" s="5" t="s">
        <v>146</v>
      </c>
      <c r="B683" s="13">
        <f>500*'[2]Design Info, Unit conversions'!$D$56</f>
        <v>19.685039370000002</v>
      </c>
      <c r="C683" s="6" t="s">
        <v>7</v>
      </c>
    </row>
    <row r="684" spans="1:14" x14ac:dyDescent="0.8">
      <c r="A684" s="5" t="s">
        <v>147</v>
      </c>
      <c r="B684" s="13">
        <f>(B683*B682)/144</f>
        <v>3.4982708854026741</v>
      </c>
      <c r="C684" s="6" t="s">
        <v>10</v>
      </c>
    </row>
    <row r="685" spans="1:14" x14ac:dyDescent="0.8">
      <c r="A685" s="5" t="s">
        <v>148</v>
      </c>
      <c r="B685" s="13">
        <f>B679-'[2]Terminal Units'!F123</f>
        <v>6371.4721690210017</v>
      </c>
      <c r="C685" s="6" t="s">
        <v>72</v>
      </c>
    </row>
    <row r="686" spans="1:14" x14ac:dyDescent="0.8">
      <c r="A686" s="5" t="s">
        <v>149</v>
      </c>
      <c r="B686" s="13">
        <f>B685/B684</f>
        <v>1821.3204116374777</v>
      </c>
      <c r="C686" s="6" t="s">
        <v>14</v>
      </c>
    </row>
    <row r="687" spans="1:14" x14ac:dyDescent="0.8">
      <c r="A687" s="5" t="s">
        <v>150</v>
      </c>
      <c r="B687" s="7">
        <f>(B686/4005)^2</f>
        <v>0.20680815908000838</v>
      </c>
      <c r="C687" s="6" t="s">
        <v>16</v>
      </c>
    </row>
    <row r="688" spans="1:14" x14ac:dyDescent="0.8">
      <c r="A688" s="5" t="s">
        <v>151</v>
      </c>
      <c r="B688" s="13">
        <f>250*'[2]Design Info, Unit conversions'!$D$56</f>
        <v>9.842519685000001</v>
      </c>
      <c r="C688" s="6" t="s">
        <v>7</v>
      </c>
    </row>
    <row r="689" spans="1:3" x14ac:dyDescent="0.8">
      <c r="A689" s="5" t="s">
        <v>152</v>
      </c>
      <c r="B689" s="13">
        <f>300*'[2]Design Info, Unit conversions'!$D$56</f>
        <v>11.811023622</v>
      </c>
      <c r="C689" s="6" t="s">
        <v>7</v>
      </c>
    </row>
    <row r="690" spans="1:3" x14ac:dyDescent="0.8">
      <c r="A690" s="5" t="s">
        <v>153</v>
      </c>
      <c r="B690" s="13">
        <f>(B689*B688)/144</f>
        <v>0.80729328124677091</v>
      </c>
      <c r="C690" s="6" t="s">
        <v>10</v>
      </c>
    </row>
    <row r="691" spans="1:3" x14ac:dyDescent="0.8">
      <c r="A691" s="5" t="s">
        <v>154</v>
      </c>
      <c r="B691" s="13">
        <f>'[2]Terminal Units'!F123</f>
        <v>889.92960126000003</v>
      </c>
      <c r="C691" s="6" t="s">
        <v>72</v>
      </c>
    </row>
    <row r="692" spans="1:3" x14ac:dyDescent="0.8">
      <c r="A692" s="5" t="s">
        <v>155</v>
      </c>
      <c r="B692" s="13">
        <f>B691/B690</f>
        <v>1102.3622045827099</v>
      </c>
      <c r="C692" s="6" t="s">
        <v>14</v>
      </c>
    </row>
    <row r="693" spans="1:3" x14ac:dyDescent="0.8">
      <c r="A693" s="5" t="s">
        <v>156</v>
      </c>
      <c r="B693" s="7">
        <f>(B692/4005)^2</f>
        <v>7.576063192497845E-2</v>
      </c>
      <c r="C693" s="6" t="s">
        <v>16</v>
      </c>
    </row>
    <row r="694" spans="1:3" x14ac:dyDescent="0.8">
      <c r="A694" s="5" t="s">
        <v>157</v>
      </c>
      <c r="B694" s="7">
        <v>0.05</v>
      </c>
      <c r="C694" s="6" t="s">
        <v>158</v>
      </c>
    </row>
    <row r="695" spans="1:3" x14ac:dyDescent="0.8">
      <c r="A695" s="5" t="s">
        <v>159</v>
      </c>
      <c r="B695" s="14">
        <f>B694*B687</f>
        <v>1.034040795400042E-2</v>
      </c>
      <c r="C695" s="15" t="s">
        <v>120</v>
      </c>
    </row>
    <row r="696" spans="1:3" x14ac:dyDescent="0.8">
      <c r="A696" s="5" t="s">
        <v>160</v>
      </c>
      <c r="B696" s="7">
        <v>0.46</v>
      </c>
      <c r="C696" s="6" t="s">
        <v>158</v>
      </c>
    </row>
    <row r="697" spans="1:3" x14ac:dyDescent="0.8">
      <c r="A697" s="5" t="s">
        <v>161</v>
      </c>
      <c r="B697" s="25">
        <f>B696*B693</f>
        <v>3.484989068549009E-2</v>
      </c>
      <c r="C697" s="26" t="s">
        <v>120</v>
      </c>
    </row>
    <row r="698" spans="1:3" x14ac:dyDescent="0.8">
      <c r="A698" s="22" t="s">
        <v>98</v>
      </c>
      <c r="B698" s="13"/>
      <c r="C698" s="6"/>
    </row>
    <row r="699" spans="1:3" x14ac:dyDescent="0.8">
      <c r="A699" s="5" t="s">
        <v>6</v>
      </c>
      <c r="B699" s="13">
        <f>B683</f>
        <v>19.685039370000002</v>
      </c>
      <c r="C699" s="6" t="s">
        <v>7</v>
      </c>
    </row>
    <row r="700" spans="1:3" x14ac:dyDescent="0.8">
      <c r="A700" s="5" t="s">
        <v>8</v>
      </c>
      <c r="B700" s="13">
        <f>B676</f>
        <v>25.590551181000002</v>
      </c>
      <c r="C700" s="6" t="s">
        <v>7</v>
      </c>
    </row>
    <row r="701" spans="1:3" x14ac:dyDescent="0.8">
      <c r="A701" s="5" t="s">
        <v>9</v>
      </c>
      <c r="B701" s="13">
        <f>(B700*B699)/144</f>
        <v>3.4982708854026741</v>
      </c>
      <c r="C701" s="6" t="s">
        <v>10</v>
      </c>
    </row>
    <row r="702" spans="1:3" x14ac:dyDescent="0.8">
      <c r="A702" s="5" t="s">
        <v>11</v>
      </c>
      <c r="B702" s="13">
        <f>B685</f>
        <v>6371.4721690210017</v>
      </c>
      <c r="C702" s="6" t="s">
        <v>72</v>
      </c>
    </row>
    <row r="703" spans="1:3" x14ac:dyDescent="0.8">
      <c r="A703" s="5" t="s">
        <v>13</v>
      </c>
      <c r="B703" s="13">
        <f>B702/B701</f>
        <v>1821.3204116374777</v>
      </c>
      <c r="C703" s="6" t="s">
        <v>14</v>
      </c>
    </row>
    <row r="704" spans="1:3" x14ac:dyDescent="0.8">
      <c r="A704" s="5" t="s">
        <v>15</v>
      </c>
      <c r="B704" s="7">
        <f>(B703/4005)^2</f>
        <v>0.20680815908000838</v>
      </c>
      <c r="C704" s="6" t="s">
        <v>16</v>
      </c>
    </row>
    <row r="705" spans="1:3" x14ac:dyDescent="0.8">
      <c r="A705" s="5" t="s">
        <v>74</v>
      </c>
      <c r="B705" s="7">
        <v>0.11</v>
      </c>
      <c r="C705" s="6" t="s">
        <v>178</v>
      </c>
    </row>
    <row r="706" spans="1:3" x14ac:dyDescent="0.8">
      <c r="A706" s="5" t="s">
        <v>76</v>
      </c>
      <c r="B706" s="7">
        <f>B705*B704</f>
        <v>2.2748897498800921E-2</v>
      </c>
      <c r="C706" s="6" t="s">
        <v>77</v>
      </c>
    </row>
    <row r="707" spans="1:3" x14ac:dyDescent="0.8">
      <c r="A707" s="12" t="s">
        <v>183</v>
      </c>
      <c r="B707" s="13"/>
      <c r="C707" s="6"/>
    </row>
    <row r="708" spans="1:3" x14ac:dyDescent="0.8">
      <c r="A708" s="5" t="s">
        <v>81</v>
      </c>
      <c r="B708" s="13">
        <f>(1500*'[2]Design Info, Unit conversions'!$D$56)/12</f>
        <v>4.9212598425000005</v>
      </c>
      <c r="C708" s="6" t="s">
        <v>23</v>
      </c>
    </row>
    <row r="709" spans="1:3" x14ac:dyDescent="0.8">
      <c r="A709" s="5" t="s">
        <v>82</v>
      </c>
      <c r="B709" s="7">
        <v>1.3</v>
      </c>
      <c r="C709" s="6" t="s">
        <v>83</v>
      </c>
    </row>
    <row r="710" spans="1:3" x14ac:dyDescent="0.8">
      <c r="A710" s="5" t="s">
        <v>116</v>
      </c>
      <c r="B710" s="14">
        <f>B709*B706</f>
        <v>2.9573566748441197E-2</v>
      </c>
      <c r="C710" s="15" t="s">
        <v>77</v>
      </c>
    </row>
    <row r="711" spans="1:3" x14ac:dyDescent="0.8">
      <c r="A711" s="22" t="s">
        <v>98</v>
      </c>
      <c r="B711" s="13"/>
      <c r="C711" s="6"/>
    </row>
    <row r="712" spans="1:3" x14ac:dyDescent="0.8">
      <c r="A712" s="5" t="s">
        <v>6</v>
      </c>
      <c r="B712" s="13">
        <f>B700</f>
        <v>25.590551181000002</v>
      </c>
      <c r="C712" s="6" t="s">
        <v>7</v>
      </c>
    </row>
    <row r="713" spans="1:3" x14ac:dyDescent="0.8">
      <c r="A713" s="5" t="s">
        <v>8</v>
      </c>
      <c r="B713" s="13">
        <f>B699</f>
        <v>19.685039370000002</v>
      </c>
      <c r="C713" s="6" t="s">
        <v>7</v>
      </c>
    </row>
    <row r="714" spans="1:3" x14ac:dyDescent="0.8">
      <c r="A714" s="5" t="s">
        <v>9</v>
      </c>
      <c r="B714" s="13">
        <f>(B713*B712)/144</f>
        <v>3.4982708854026741</v>
      </c>
      <c r="C714" s="6" t="s">
        <v>10</v>
      </c>
    </row>
    <row r="715" spans="1:3" x14ac:dyDescent="0.8">
      <c r="A715" s="5" t="s">
        <v>11</v>
      </c>
      <c r="B715" s="13">
        <f>B702</f>
        <v>6371.4721690210017</v>
      </c>
      <c r="C715" s="6" t="s">
        <v>72</v>
      </c>
    </row>
    <row r="716" spans="1:3" x14ac:dyDescent="0.8">
      <c r="A716" s="5" t="s">
        <v>13</v>
      </c>
      <c r="B716" s="13">
        <f>B715/B714</f>
        <v>1821.3204116374777</v>
      </c>
      <c r="C716" s="6" t="s">
        <v>14</v>
      </c>
    </row>
    <row r="717" spans="1:3" x14ac:dyDescent="0.8">
      <c r="A717" s="5" t="s">
        <v>15</v>
      </c>
      <c r="B717" s="7">
        <f>(B716/4005)^2</f>
        <v>0.20680815908000838</v>
      </c>
      <c r="C717" s="6" t="s">
        <v>16</v>
      </c>
    </row>
    <row r="718" spans="1:3" x14ac:dyDescent="0.8">
      <c r="A718" s="5" t="s">
        <v>74</v>
      </c>
      <c r="B718" s="7">
        <v>0.11</v>
      </c>
      <c r="C718" s="6" t="s">
        <v>178</v>
      </c>
    </row>
    <row r="719" spans="1:3" x14ac:dyDescent="0.8">
      <c r="A719" s="5" t="s">
        <v>76</v>
      </c>
      <c r="B719" s="7">
        <f>B718*B717</f>
        <v>2.2748897498800921E-2</v>
      </c>
      <c r="C719" s="6" t="s">
        <v>77</v>
      </c>
    </row>
    <row r="720" spans="1:3" x14ac:dyDescent="0.8">
      <c r="A720" s="12" t="s">
        <v>184</v>
      </c>
      <c r="B720" s="13"/>
      <c r="C720" s="6"/>
    </row>
    <row r="721" spans="1:3" x14ac:dyDescent="0.8">
      <c r="A721" s="5" t="s">
        <v>81</v>
      </c>
      <c r="B721" s="13">
        <v>2</v>
      </c>
      <c r="C721" s="6" t="s">
        <v>23</v>
      </c>
    </row>
    <row r="722" spans="1:3" x14ac:dyDescent="0.8">
      <c r="A722" s="5" t="s">
        <v>82</v>
      </c>
      <c r="B722" s="7">
        <v>1.75</v>
      </c>
      <c r="C722" s="6" t="s">
        <v>83</v>
      </c>
    </row>
    <row r="723" spans="1:3" x14ac:dyDescent="0.8">
      <c r="A723" s="5" t="s">
        <v>116</v>
      </c>
      <c r="B723" s="14">
        <f>B722*B719</f>
        <v>3.9810570622901609E-2</v>
      </c>
      <c r="C723" s="15" t="s">
        <v>77</v>
      </c>
    </row>
    <row r="724" spans="1:3" x14ac:dyDescent="0.8">
      <c r="A724" s="22" t="s">
        <v>131</v>
      </c>
      <c r="B724" s="13"/>
      <c r="C724" s="6"/>
    </row>
    <row r="725" spans="1:3" x14ac:dyDescent="0.8">
      <c r="A725" s="5" t="s">
        <v>6</v>
      </c>
      <c r="B725" s="13">
        <f>B712</f>
        <v>25.590551181000002</v>
      </c>
      <c r="C725" s="6" t="s">
        <v>7</v>
      </c>
    </row>
    <row r="726" spans="1:3" x14ac:dyDescent="0.8">
      <c r="A726" s="5" t="s">
        <v>8</v>
      </c>
      <c r="B726" s="13">
        <f>B713</f>
        <v>19.685039370000002</v>
      </c>
      <c r="C726" s="6" t="s">
        <v>7</v>
      </c>
    </row>
    <row r="727" spans="1:3" x14ac:dyDescent="0.8">
      <c r="A727" s="5" t="s">
        <v>9</v>
      </c>
      <c r="B727" s="13">
        <f>(B726*B725)/144</f>
        <v>3.4982708854026741</v>
      </c>
      <c r="C727" s="6" t="s">
        <v>10</v>
      </c>
    </row>
    <row r="728" spans="1:3" x14ac:dyDescent="0.8">
      <c r="A728" s="5" t="s">
        <v>11</v>
      </c>
      <c r="B728" s="13">
        <f>B715</f>
        <v>6371.4721690210017</v>
      </c>
      <c r="C728" s="6" t="s">
        <v>72</v>
      </c>
    </row>
    <row r="729" spans="1:3" x14ac:dyDescent="0.8">
      <c r="A729" s="5" t="s">
        <v>13</v>
      </c>
      <c r="B729" s="13">
        <f>B728/B727</f>
        <v>1821.3204116374777</v>
      </c>
      <c r="C729" s="6" t="s">
        <v>14</v>
      </c>
    </row>
    <row r="730" spans="1:3" x14ac:dyDescent="0.8">
      <c r="A730" s="5" t="s">
        <v>15</v>
      </c>
      <c r="B730" s="7">
        <f>(B729/4005)^2</f>
        <v>0.20680815908000838</v>
      </c>
      <c r="C730" s="6" t="s">
        <v>16</v>
      </c>
    </row>
    <row r="731" spans="1:3" x14ac:dyDescent="0.8">
      <c r="A731" s="5" t="s">
        <v>74</v>
      </c>
      <c r="B731" s="7">
        <v>0.09</v>
      </c>
      <c r="C731" s="6" t="s">
        <v>132</v>
      </c>
    </row>
    <row r="732" spans="1:3" x14ac:dyDescent="0.8">
      <c r="A732" s="5" t="s">
        <v>76</v>
      </c>
      <c r="B732" s="7">
        <f>B731*B730</f>
        <v>1.8612734317200754E-2</v>
      </c>
      <c r="C732" s="6" t="s">
        <v>77</v>
      </c>
    </row>
    <row r="733" spans="1:3" x14ac:dyDescent="0.8">
      <c r="A733" s="12" t="s">
        <v>170</v>
      </c>
      <c r="B733" s="13"/>
      <c r="C733" s="6"/>
    </row>
    <row r="734" spans="1:3" x14ac:dyDescent="0.8">
      <c r="A734" s="5" t="s">
        <v>81</v>
      </c>
      <c r="B734" s="13">
        <f>(1500*'[2]Design Info, Unit conversions'!$D$56)/12</f>
        <v>4.9212598425000005</v>
      </c>
      <c r="C734" s="6" t="s">
        <v>23</v>
      </c>
    </row>
    <row r="735" spans="1:3" x14ac:dyDescent="0.8">
      <c r="A735" s="5" t="s">
        <v>82</v>
      </c>
      <c r="B735" s="7">
        <v>1.3</v>
      </c>
      <c r="C735" s="6" t="s">
        <v>83</v>
      </c>
    </row>
    <row r="736" spans="1:3" x14ac:dyDescent="0.8">
      <c r="A736" s="5" t="s">
        <v>116</v>
      </c>
      <c r="B736" s="14">
        <f>B735*B732</f>
        <v>2.419655461236098E-2</v>
      </c>
      <c r="C736" s="15" t="s">
        <v>77</v>
      </c>
    </row>
    <row r="737" spans="1:3" x14ac:dyDescent="0.8">
      <c r="A737" s="22" t="s">
        <v>133</v>
      </c>
      <c r="B737" s="13"/>
      <c r="C737" s="6"/>
    </row>
    <row r="738" spans="1:3" x14ac:dyDescent="0.8">
      <c r="A738" s="5" t="s">
        <v>6</v>
      </c>
      <c r="B738" s="13">
        <f>B725</f>
        <v>25.590551181000002</v>
      </c>
      <c r="C738" s="6" t="s">
        <v>7</v>
      </c>
    </row>
    <row r="739" spans="1:3" x14ac:dyDescent="0.8">
      <c r="A739" s="5" t="s">
        <v>8</v>
      </c>
      <c r="B739" s="13">
        <f>B726</f>
        <v>19.685039370000002</v>
      </c>
      <c r="C739" s="6" t="s">
        <v>7</v>
      </c>
    </row>
    <row r="740" spans="1:3" x14ac:dyDescent="0.8">
      <c r="A740" s="5" t="s">
        <v>9</v>
      </c>
      <c r="B740" s="13">
        <f>(B739*B738)/144</f>
        <v>3.4982708854026741</v>
      </c>
      <c r="C740" s="6" t="s">
        <v>10</v>
      </c>
    </row>
    <row r="741" spans="1:3" x14ac:dyDescent="0.8">
      <c r="A741" s="5" t="s">
        <v>11</v>
      </c>
      <c r="B741" s="13">
        <f>B728</f>
        <v>6371.4721690210017</v>
      </c>
      <c r="C741" s="6" t="s">
        <v>72</v>
      </c>
    </row>
    <row r="742" spans="1:3" x14ac:dyDescent="0.8">
      <c r="A742" s="5" t="s">
        <v>13</v>
      </c>
      <c r="B742" s="13">
        <f>B741/B740</f>
        <v>1821.3204116374777</v>
      </c>
      <c r="C742" s="6" t="s">
        <v>14</v>
      </c>
    </row>
    <row r="743" spans="1:3" x14ac:dyDescent="0.8">
      <c r="A743" s="5" t="s">
        <v>15</v>
      </c>
      <c r="B743" s="7">
        <f>(B742/4005)^2</f>
        <v>0.20680815908000838</v>
      </c>
      <c r="C743" s="6" t="s">
        <v>16</v>
      </c>
    </row>
    <row r="744" spans="1:3" x14ac:dyDescent="0.8">
      <c r="A744" s="5" t="s">
        <v>74</v>
      </c>
      <c r="B744" s="7">
        <f>B731</f>
        <v>0.09</v>
      </c>
      <c r="C744" s="6" t="s">
        <v>132</v>
      </c>
    </row>
    <row r="745" spans="1:3" x14ac:dyDescent="0.8">
      <c r="A745" s="5" t="s">
        <v>76</v>
      </c>
      <c r="B745" s="7">
        <f>B744*B743</f>
        <v>1.8612734317200754E-2</v>
      </c>
      <c r="C745" s="6" t="s">
        <v>77</v>
      </c>
    </row>
    <row r="746" spans="1:3" x14ac:dyDescent="0.8">
      <c r="A746" s="12" t="s">
        <v>170</v>
      </c>
      <c r="B746" s="13"/>
      <c r="C746" s="6"/>
    </row>
    <row r="747" spans="1:3" x14ac:dyDescent="0.8">
      <c r="A747" s="5" t="s">
        <v>81</v>
      </c>
      <c r="B747" s="13">
        <f>(1500*'[2]Design Info, Unit conversions'!$D$56)/12</f>
        <v>4.9212598425000005</v>
      </c>
      <c r="C747" s="6" t="s">
        <v>23</v>
      </c>
    </row>
    <row r="748" spans="1:3" x14ac:dyDescent="0.8">
      <c r="A748" s="5" t="s">
        <v>82</v>
      </c>
      <c r="B748" s="7">
        <v>1.3</v>
      </c>
      <c r="C748" s="6" t="s">
        <v>83</v>
      </c>
    </row>
    <row r="749" spans="1:3" x14ac:dyDescent="0.8">
      <c r="A749" s="5" t="s">
        <v>116</v>
      </c>
      <c r="B749" s="14">
        <f>B748*B745</f>
        <v>2.419655461236098E-2</v>
      </c>
      <c r="C749" s="15" t="s">
        <v>77</v>
      </c>
    </row>
    <row r="750" spans="1:3" x14ac:dyDescent="0.8">
      <c r="A750" s="12" t="s">
        <v>89</v>
      </c>
      <c r="B750" s="13"/>
      <c r="C750" s="6"/>
    </row>
    <row r="751" spans="1:3" x14ac:dyDescent="0.8">
      <c r="A751" s="5" t="s">
        <v>6</v>
      </c>
      <c r="B751" s="13">
        <f>B682</f>
        <v>25.590551181000002</v>
      </c>
      <c r="C751" s="6" t="s">
        <v>7</v>
      </c>
    </row>
    <row r="752" spans="1:3" x14ac:dyDescent="0.8">
      <c r="A752" s="5" t="s">
        <v>8</v>
      </c>
      <c r="B752" s="13">
        <f>B683</f>
        <v>19.685039370000002</v>
      </c>
      <c r="C752" s="6" t="s">
        <v>7</v>
      </c>
    </row>
    <row r="753" spans="1:3" x14ac:dyDescent="0.8">
      <c r="A753" s="5" t="s">
        <v>9</v>
      </c>
      <c r="B753" s="13">
        <f>(B752*B751)/144</f>
        <v>3.4982708854026741</v>
      </c>
      <c r="C753" s="6" t="s">
        <v>10</v>
      </c>
    </row>
    <row r="754" spans="1:3" x14ac:dyDescent="0.8">
      <c r="A754" s="5" t="s">
        <v>21</v>
      </c>
      <c r="B754" s="13">
        <f>B685</f>
        <v>6371.4721690210017</v>
      </c>
      <c r="C754" s="6" t="s">
        <v>33</v>
      </c>
    </row>
    <row r="755" spans="1:3" x14ac:dyDescent="0.8">
      <c r="A755" s="5" t="s">
        <v>13</v>
      </c>
      <c r="B755" s="13">
        <f>B754/B753</f>
        <v>1821.3204116374777</v>
      </c>
      <c r="C755" s="6" t="s">
        <v>14</v>
      </c>
    </row>
    <row r="756" spans="1:3" x14ac:dyDescent="0.8">
      <c r="A756" s="5" t="s">
        <v>15</v>
      </c>
      <c r="B756" s="7">
        <f>(B755/4005)^2</f>
        <v>0.20680815908000838</v>
      </c>
      <c r="C756" s="6" t="s">
        <v>16</v>
      </c>
    </row>
    <row r="757" spans="1:3" x14ac:dyDescent="0.8">
      <c r="A757" s="5" t="s">
        <v>22</v>
      </c>
      <c r="B757" s="7">
        <f>0.5*'[2]Floor Elevations'!D4</f>
        <v>6.7421259842249981</v>
      </c>
      <c r="C757" s="6" t="s">
        <v>23</v>
      </c>
    </row>
    <row r="758" spans="1:3" x14ac:dyDescent="0.8">
      <c r="A758" s="5" t="s">
        <v>28</v>
      </c>
      <c r="B758" s="14">
        <v>0.01</v>
      </c>
      <c r="C758" s="15" t="s">
        <v>34</v>
      </c>
    </row>
    <row r="759" spans="1:3" x14ac:dyDescent="0.8">
      <c r="A759" s="22" t="s">
        <v>125</v>
      </c>
      <c r="B759" s="13"/>
      <c r="C759" s="6"/>
    </row>
    <row r="760" spans="1:3" x14ac:dyDescent="0.8">
      <c r="A760" s="5" t="s">
        <v>6</v>
      </c>
      <c r="B760" s="13">
        <f>B751</f>
        <v>25.590551181000002</v>
      </c>
      <c r="C760" s="6" t="s">
        <v>7</v>
      </c>
    </row>
    <row r="761" spans="1:3" x14ac:dyDescent="0.8">
      <c r="A761" s="5" t="s">
        <v>8</v>
      </c>
      <c r="B761" s="13">
        <f>B752</f>
        <v>19.685039370000002</v>
      </c>
      <c r="C761" s="6" t="s">
        <v>7</v>
      </c>
    </row>
    <row r="762" spans="1:3" x14ac:dyDescent="0.8">
      <c r="A762" s="5" t="s">
        <v>9</v>
      </c>
      <c r="B762" s="13">
        <f>(B761*B760)/144</f>
        <v>3.4982708854026741</v>
      </c>
      <c r="C762" s="6" t="s">
        <v>10</v>
      </c>
    </row>
    <row r="763" spans="1:3" x14ac:dyDescent="0.8">
      <c r="A763" s="5" t="s">
        <v>11</v>
      </c>
      <c r="B763" s="13">
        <f>B754</f>
        <v>6371.4721690210017</v>
      </c>
      <c r="C763" s="6" t="s">
        <v>72</v>
      </c>
    </row>
    <row r="764" spans="1:3" x14ac:dyDescent="0.8">
      <c r="A764" s="5" t="s">
        <v>13</v>
      </c>
      <c r="B764" s="13">
        <f>B763/B762</f>
        <v>1821.3204116374777</v>
      </c>
      <c r="C764" s="6" t="s">
        <v>14</v>
      </c>
    </row>
    <row r="765" spans="1:3" x14ac:dyDescent="0.8">
      <c r="A765" s="5" t="s">
        <v>15</v>
      </c>
      <c r="B765" s="7">
        <f>(B764/4005)^2</f>
        <v>0.20680815908000838</v>
      </c>
      <c r="C765" s="6" t="s">
        <v>16</v>
      </c>
    </row>
    <row r="766" spans="1:3" x14ac:dyDescent="0.8">
      <c r="A766" s="5" t="s">
        <v>74</v>
      </c>
      <c r="B766" s="7">
        <v>0.18</v>
      </c>
      <c r="C766" s="6" t="s">
        <v>126</v>
      </c>
    </row>
    <row r="767" spans="1:3" x14ac:dyDescent="0.8">
      <c r="A767" s="5" t="s">
        <v>76</v>
      </c>
      <c r="B767" s="14">
        <f>B766*B765</f>
        <v>3.7225468634401508E-2</v>
      </c>
      <c r="C767" s="15" t="s">
        <v>120</v>
      </c>
    </row>
    <row r="768" spans="1:3" x14ac:dyDescent="0.8">
      <c r="A768" s="12" t="s">
        <v>29</v>
      </c>
    </row>
    <row r="769" spans="1:14" x14ac:dyDescent="0.8">
      <c r="A769" s="5" t="s">
        <v>162</v>
      </c>
      <c r="B769" s="17">
        <f>B695</f>
        <v>1.034040795400042E-2</v>
      </c>
      <c r="C769" s="6" t="s">
        <v>16</v>
      </c>
    </row>
    <row r="770" spans="1:14" x14ac:dyDescent="0.8">
      <c r="A770" s="5" t="s">
        <v>181</v>
      </c>
      <c r="B770" s="17">
        <f>B710</f>
        <v>2.9573566748441197E-2</v>
      </c>
      <c r="C770" s="6"/>
    </row>
    <row r="771" spans="1:14" x14ac:dyDescent="0.8">
      <c r="A771" s="5" t="s">
        <v>181</v>
      </c>
      <c r="B771" s="17">
        <f>B723</f>
        <v>3.9810570622901609E-2</v>
      </c>
      <c r="C771" s="6"/>
    </row>
    <row r="772" spans="1:14" x14ac:dyDescent="0.8">
      <c r="A772" s="5" t="s">
        <v>135</v>
      </c>
      <c r="B772" s="17">
        <f>B736</f>
        <v>2.419655461236098E-2</v>
      </c>
      <c r="C772" s="6"/>
    </row>
    <row r="773" spans="1:14" x14ac:dyDescent="0.8">
      <c r="A773" s="5" t="s">
        <v>136</v>
      </c>
      <c r="B773" s="17">
        <f>B749</f>
        <v>2.419655461236098E-2</v>
      </c>
      <c r="C773" s="6"/>
    </row>
    <row r="774" spans="1:14" x14ac:dyDescent="0.8">
      <c r="A774" s="5" t="s">
        <v>92</v>
      </c>
      <c r="B774" s="17">
        <f>B758</f>
        <v>0.01</v>
      </c>
      <c r="C774" s="6" t="s">
        <v>16</v>
      </c>
    </row>
    <row r="775" spans="1:14" x14ac:dyDescent="0.8">
      <c r="A775" s="5" t="s">
        <v>180</v>
      </c>
      <c r="B775" s="17">
        <f>B767</f>
        <v>3.7225468634401508E-2</v>
      </c>
      <c r="C775" s="6" t="s">
        <v>16</v>
      </c>
    </row>
    <row r="776" spans="1:14" x14ac:dyDescent="0.8">
      <c r="A776" s="5" t="s">
        <v>96</v>
      </c>
      <c r="B776" s="23">
        <f>SUM(B769:B775)</f>
        <v>0.17534312318446671</v>
      </c>
      <c r="C776" s="19" t="s">
        <v>16</v>
      </c>
    </row>
    <row r="777" spans="1:14" s="11" customFormat="1" x14ac:dyDescent="0.8">
      <c r="A777" s="8" t="s">
        <v>185</v>
      </c>
      <c r="B777" s="9"/>
      <c r="C777" s="10"/>
      <c r="D777" s="10"/>
      <c r="E777" s="10"/>
      <c r="F777" s="10"/>
      <c r="G777" s="10"/>
      <c r="H777" s="10"/>
      <c r="I777" s="10"/>
      <c r="J777" s="10"/>
      <c r="K777" s="10"/>
      <c r="L777" s="10"/>
      <c r="M777" s="10"/>
      <c r="N777" s="10"/>
    </row>
    <row r="778" spans="1:14" x14ac:dyDescent="0.8">
      <c r="A778" s="22" t="s">
        <v>98</v>
      </c>
      <c r="B778" s="13"/>
      <c r="C778" s="6"/>
    </row>
    <row r="779" spans="1:14" x14ac:dyDescent="0.8">
      <c r="A779" s="5" t="s">
        <v>6</v>
      </c>
      <c r="B779" s="13">
        <f>650*'[2]Design Info, Unit conversions'!D56</f>
        <v>25.590551181000002</v>
      </c>
      <c r="C779" s="6" t="s">
        <v>7</v>
      </c>
    </row>
    <row r="780" spans="1:14" x14ac:dyDescent="0.8">
      <c r="A780" s="5" t="s">
        <v>8</v>
      </c>
      <c r="B780" s="13">
        <f>450*'[2]Design Info, Unit conversions'!D56</f>
        <v>17.716535433000001</v>
      </c>
      <c r="C780" s="6" t="s">
        <v>7</v>
      </c>
    </row>
    <row r="781" spans="1:14" x14ac:dyDescent="0.8">
      <c r="A781" s="5" t="s">
        <v>9</v>
      </c>
      <c r="B781" s="13">
        <f>(B780*B779)/144</f>
        <v>3.1484437968624066</v>
      </c>
      <c r="C781" s="6" t="s">
        <v>10</v>
      </c>
    </row>
    <row r="782" spans="1:14" x14ac:dyDescent="0.8">
      <c r="A782" s="5" t="s">
        <v>11</v>
      </c>
      <c r="B782" s="13">
        <f>('[2]Terminal Units'!C7+'[2]Terminal Units'!C8+SUM('[2]Terminal Units'!C10:C13))*'[2]Design Info, Unit conversions'!D53</f>
        <v>4400.9137662310004</v>
      </c>
      <c r="C782" s="6" t="s">
        <v>72</v>
      </c>
    </row>
    <row r="783" spans="1:14" x14ac:dyDescent="0.8">
      <c r="A783" s="5" t="s">
        <v>13</v>
      </c>
      <c r="B783" s="13">
        <f>B782/B781</f>
        <v>1397.8060432956584</v>
      </c>
      <c r="C783" s="6" t="s">
        <v>14</v>
      </c>
    </row>
    <row r="784" spans="1:14" x14ac:dyDescent="0.8">
      <c r="A784" s="5" t="s">
        <v>15</v>
      </c>
      <c r="B784" s="7">
        <f>(B783/4005)^2</f>
        <v>0.12181163898895818</v>
      </c>
      <c r="C784" s="6" t="s">
        <v>16</v>
      </c>
    </row>
    <row r="785" spans="1:3" x14ac:dyDescent="0.8">
      <c r="A785" s="5" t="s">
        <v>74</v>
      </c>
      <c r="B785" s="7">
        <v>0.11</v>
      </c>
      <c r="C785" s="6" t="s">
        <v>178</v>
      </c>
    </row>
    <row r="786" spans="1:3" x14ac:dyDescent="0.8">
      <c r="A786" s="5" t="s">
        <v>76</v>
      </c>
      <c r="B786" s="7">
        <f>B785*B784</f>
        <v>1.33992802887854E-2</v>
      </c>
      <c r="C786" s="6" t="s">
        <v>77</v>
      </c>
    </row>
    <row r="787" spans="1:3" x14ac:dyDescent="0.8">
      <c r="A787" s="12" t="s">
        <v>179</v>
      </c>
      <c r="B787" s="13"/>
      <c r="C787" s="6"/>
    </row>
    <row r="788" spans="1:3" x14ac:dyDescent="0.8">
      <c r="A788" s="5" t="s">
        <v>81</v>
      </c>
      <c r="B788" s="13">
        <v>2</v>
      </c>
      <c r="C788" s="6" t="s">
        <v>23</v>
      </c>
    </row>
    <row r="789" spans="1:3" x14ac:dyDescent="0.8">
      <c r="A789" s="5" t="s">
        <v>82</v>
      </c>
      <c r="B789" s="7">
        <v>1.75</v>
      </c>
      <c r="C789" s="6" t="s">
        <v>83</v>
      </c>
    </row>
    <row r="790" spans="1:3" x14ac:dyDescent="0.8">
      <c r="A790" s="5" t="s">
        <v>116</v>
      </c>
      <c r="B790" s="14">
        <f>B789*B786</f>
        <v>2.344874050537445E-2</v>
      </c>
      <c r="C790" s="15" t="s">
        <v>77</v>
      </c>
    </row>
    <row r="791" spans="1:3" x14ac:dyDescent="0.8">
      <c r="A791" s="12" t="s">
        <v>89</v>
      </c>
      <c r="B791" s="13"/>
      <c r="C791" s="6"/>
    </row>
    <row r="792" spans="1:3" x14ac:dyDescent="0.8">
      <c r="A792" s="5" t="s">
        <v>6</v>
      </c>
      <c r="B792" s="13">
        <f>B779</f>
        <v>25.590551181000002</v>
      </c>
      <c r="C792" s="6" t="s">
        <v>7</v>
      </c>
    </row>
    <row r="793" spans="1:3" x14ac:dyDescent="0.8">
      <c r="A793" s="5" t="s">
        <v>8</v>
      </c>
      <c r="B793" s="13">
        <f>B780</f>
        <v>17.716535433000001</v>
      </c>
      <c r="C793" s="6" t="s">
        <v>7</v>
      </c>
    </row>
    <row r="794" spans="1:3" x14ac:dyDescent="0.8">
      <c r="A794" s="5" t="s">
        <v>9</v>
      </c>
      <c r="B794" s="13">
        <f>(B793*B792)/144</f>
        <v>3.1484437968624066</v>
      </c>
      <c r="C794" s="6" t="s">
        <v>10</v>
      </c>
    </row>
    <row r="795" spans="1:3" x14ac:dyDescent="0.8">
      <c r="A795" s="5" t="s">
        <v>21</v>
      </c>
      <c r="B795" s="13">
        <f>B782</f>
        <v>4400.9137662310004</v>
      </c>
      <c r="C795" s="6" t="s">
        <v>33</v>
      </c>
    </row>
    <row r="796" spans="1:3" x14ac:dyDescent="0.8">
      <c r="A796" s="5" t="s">
        <v>13</v>
      </c>
      <c r="B796" s="13">
        <f>B795/B794</f>
        <v>1397.8060432956584</v>
      </c>
      <c r="C796" s="6" t="s">
        <v>14</v>
      </c>
    </row>
    <row r="797" spans="1:3" x14ac:dyDescent="0.8">
      <c r="A797" s="5" t="s">
        <v>15</v>
      </c>
      <c r="B797" s="7">
        <f>(B796/4005)^2</f>
        <v>0.12181163898895818</v>
      </c>
      <c r="C797" s="6" t="s">
        <v>16</v>
      </c>
    </row>
    <row r="798" spans="1:3" x14ac:dyDescent="0.8">
      <c r="A798" s="5" t="s">
        <v>22</v>
      </c>
      <c r="B798" s="7">
        <f>4*'[2]Design Info, Unit conversions'!D56*1000/12</f>
        <v>13.123359580000001</v>
      </c>
      <c r="C798" s="6" t="s">
        <v>23</v>
      </c>
    </row>
    <row r="799" spans="1:3" x14ac:dyDescent="0.8">
      <c r="A799" s="5" t="s">
        <v>28</v>
      </c>
      <c r="B799" s="14">
        <v>0.01</v>
      </c>
      <c r="C799" s="15" t="s">
        <v>34</v>
      </c>
    </row>
    <row r="800" spans="1:3" x14ac:dyDescent="0.8">
      <c r="A800" s="12" t="s">
        <v>186</v>
      </c>
      <c r="B800" s="13"/>
      <c r="C800" s="6"/>
    </row>
    <row r="801" spans="1:3" x14ac:dyDescent="0.8">
      <c r="A801" s="5" t="s">
        <v>139</v>
      </c>
      <c r="B801" s="13">
        <f>B793</f>
        <v>17.716535433000001</v>
      </c>
      <c r="C801" s="6" t="s">
        <v>7</v>
      </c>
    </row>
    <row r="802" spans="1:3" x14ac:dyDescent="0.8">
      <c r="A802" s="5" t="s">
        <v>140</v>
      </c>
      <c r="B802" s="13">
        <f>B792</f>
        <v>25.590551181000002</v>
      </c>
      <c r="C802" s="6" t="s">
        <v>7</v>
      </c>
    </row>
    <row r="803" spans="1:3" x14ac:dyDescent="0.8">
      <c r="A803" s="5" t="s">
        <v>141</v>
      </c>
      <c r="B803" s="13">
        <f>(B802*B801)/144</f>
        <v>3.1484437968624066</v>
      </c>
      <c r="C803" s="6" t="s">
        <v>10</v>
      </c>
    </row>
    <row r="804" spans="1:3" x14ac:dyDescent="0.8">
      <c r="A804" s="5" t="s">
        <v>142</v>
      </c>
      <c r="B804" s="13">
        <f>B795</f>
        <v>4400.9137662310004</v>
      </c>
      <c r="C804" s="6" t="s">
        <v>72</v>
      </c>
    </row>
    <row r="805" spans="1:3" x14ac:dyDescent="0.8">
      <c r="A805" s="5" t="s">
        <v>143</v>
      </c>
      <c r="B805" s="13">
        <f>B804/B803</f>
        <v>1397.8060432956584</v>
      </c>
      <c r="C805" s="6" t="s">
        <v>14</v>
      </c>
    </row>
    <row r="806" spans="1:3" x14ac:dyDescent="0.8">
      <c r="A806" s="5" t="s">
        <v>144</v>
      </c>
      <c r="B806" s="7">
        <f>(B805/4005)^2</f>
        <v>0.12181163898895818</v>
      </c>
      <c r="C806" s="6" t="s">
        <v>16</v>
      </c>
    </row>
    <row r="807" spans="1:3" x14ac:dyDescent="0.8">
      <c r="A807" s="5" t="s">
        <v>145</v>
      </c>
      <c r="B807" s="13">
        <f>250*'[2]Design Info, Unit conversions'!D56</f>
        <v>9.842519685000001</v>
      </c>
      <c r="C807" s="6" t="s">
        <v>7</v>
      </c>
    </row>
    <row r="808" spans="1:3" x14ac:dyDescent="0.8">
      <c r="A808" s="5" t="s">
        <v>146</v>
      </c>
      <c r="B808" s="13">
        <f>600*'[2]Design Info, Unit conversions'!$D$56</f>
        <v>23.622047244000001</v>
      </c>
      <c r="C808" s="6" t="s">
        <v>7</v>
      </c>
    </row>
    <row r="809" spans="1:3" x14ac:dyDescent="0.8">
      <c r="A809" s="5" t="s">
        <v>147</v>
      </c>
      <c r="B809" s="13">
        <f>(B808*B807)/144</f>
        <v>1.6145865624935418</v>
      </c>
      <c r="C809" s="6" t="s">
        <v>10</v>
      </c>
    </row>
    <row r="810" spans="1:3" x14ac:dyDescent="0.8">
      <c r="A810" s="5" t="s">
        <v>148</v>
      </c>
      <c r="B810" s="13">
        <f>B804-('[2]Terminal Units'!C7*'[2]Design Info, Unit conversions'!D53)</f>
        <v>3506.7464049650002</v>
      </c>
      <c r="C810" s="6" t="s">
        <v>72</v>
      </c>
    </row>
    <row r="811" spans="1:3" x14ac:dyDescent="0.8">
      <c r="A811" s="5" t="s">
        <v>149</v>
      </c>
      <c r="B811" s="13">
        <f>B810/B809</f>
        <v>2171.916010219506</v>
      </c>
      <c r="C811" s="6" t="s">
        <v>14</v>
      </c>
    </row>
    <row r="812" spans="1:3" x14ac:dyDescent="0.8">
      <c r="A812" s="5" t="s">
        <v>150</v>
      </c>
      <c r="B812" s="7">
        <f>(B811/4005)^2</f>
        <v>0.29409051142051318</v>
      </c>
      <c r="C812" s="6" t="s">
        <v>16</v>
      </c>
    </row>
    <row r="813" spans="1:3" x14ac:dyDescent="0.8">
      <c r="A813" s="5" t="s">
        <v>151</v>
      </c>
      <c r="B813" s="13">
        <f>250*'[2]Design Info, Unit conversions'!$D$56</f>
        <v>9.842519685000001</v>
      </c>
      <c r="C813" s="6" t="s">
        <v>7</v>
      </c>
    </row>
    <row r="814" spans="1:3" x14ac:dyDescent="0.8">
      <c r="A814" s="5" t="s">
        <v>152</v>
      </c>
      <c r="B814" s="13">
        <f>370*'[2]Design Info, Unit conversions'!$D$56</f>
        <v>14.5669291338</v>
      </c>
      <c r="C814" s="6" t="s">
        <v>7</v>
      </c>
    </row>
    <row r="815" spans="1:3" x14ac:dyDescent="0.8">
      <c r="A815" s="5" t="s">
        <v>153</v>
      </c>
      <c r="B815" s="13">
        <f>(B814*B813)/144</f>
        <v>0.99566171353768418</v>
      </c>
      <c r="C815" s="6" t="s">
        <v>10</v>
      </c>
    </row>
    <row r="816" spans="1:3" x14ac:dyDescent="0.8">
      <c r="A816" s="5" t="s">
        <v>154</v>
      </c>
      <c r="B816" s="13">
        <f>'[2]Terminal Units'!C7*'[2]Design Info, Unit conversions'!D53</f>
        <v>894.16736126600006</v>
      </c>
      <c r="C816" s="6" t="s">
        <v>72</v>
      </c>
    </row>
    <row r="817" spans="1:3" x14ac:dyDescent="0.8">
      <c r="A817" s="5" t="s">
        <v>155</v>
      </c>
      <c r="B817" s="13">
        <f>B816/B815</f>
        <v>898.0634176330185</v>
      </c>
      <c r="C817" s="6" t="s">
        <v>14</v>
      </c>
    </row>
    <row r="818" spans="1:3" x14ac:dyDescent="0.8">
      <c r="A818" s="5" t="s">
        <v>156</v>
      </c>
      <c r="B818" s="7">
        <f>(B817/4005)^2</f>
        <v>5.0281586349815374E-2</v>
      </c>
      <c r="C818" s="6" t="s">
        <v>16</v>
      </c>
    </row>
    <row r="819" spans="1:3" x14ac:dyDescent="0.8">
      <c r="A819" s="5" t="s">
        <v>157</v>
      </c>
      <c r="B819" s="7">
        <v>0</v>
      </c>
      <c r="C819" s="6" t="s">
        <v>158</v>
      </c>
    </row>
    <row r="820" spans="1:3" x14ac:dyDescent="0.8">
      <c r="A820" s="5" t="s">
        <v>159</v>
      </c>
      <c r="B820" s="14">
        <f>B819*B812</f>
        <v>0</v>
      </c>
      <c r="C820" s="15" t="s">
        <v>120</v>
      </c>
    </row>
    <row r="821" spans="1:3" x14ac:dyDescent="0.8">
      <c r="A821" s="5" t="s">
        <v>160</v>
      </c>
      <c r="B821" s="7">
        <v>1.91</v>
      </c>
      <c r="C821" s="6" t="s">
        <v>158</v>
      </c>
    </row>
    <row r="822" spans="1:3" x14ac:dyDescent="0.8">
      <c r="A822" s="5" t="s">
        <v>161</v>
      </c>
      <c r="B822" s="25">
        <f>B821*B818</f>
        <v>9.6037829928147356E-2</v>
      </c>
      <c r="C822" s="26" t="s">
        <v>120</v>
      </c>
    </row>
    <row r="823" spans="1:3" x14ac:dyDescent="0.8">
      <c r="A823" s="22" t="s">
        <v>98</v>
      </c>
      <c r="B823" s="13"/>
      <c r="C823" s="6"/>
    </row>
    <row r="824" spans="1:3" x14ac:dyDescent="0.8">
      <c r="A824" s="5" t="s">
        <v>6</v>
      </c>
      <c r="B824" s="13">
        <f>B807</f>
        <v>9.842519685000001</v>
      </c>
      <c r="C824" s="6" t="s">
        <v>7</v>
      </c>
    </row>
    <row r="825" spans="1:3" x14ac:dyDescent="0.8">
      <c r="A825" s="5" t="s">
        <v>8</v>
      </c>
      <c r="B825" s="13">
        <f>B808</f>
        <v>23.622047244000001</v>
      </c>
      <c r="C825" s="6" t="s">
        <v>7</v>
      </c>
    </row>
    <row r="826" spans="1:3" x14ac:dyDescent="0.8">
      <c r="A826" s="5" t="s">
        <v>9</v>
      </c>
      <c r="B826" s="13">
        <f>(B825*B824)/144</f>
        <v>1.6145865624935418</v>
      </c>
      <c r="C826" s="6" t="s">
        <v>10</v>
      </c>
    </row>
    <row r="827" spans="1:3" x14ac:dyDescent="0.8">
      <c r="A827" s="5" t="s">
        <v>11</v>
      </c>
      <c r="B827" s="13">
        <f>B810</f>
        <v>3506.7464049650002</v>
      </c>
      <c r="C827" s="6" t="s">
        <v>72</v>
      </c>
    </row>
    <row r="828" spans="1:3" x14ac:dyDescent="0.8">
      <c r="A828" s="5" t="s">
        <v>13</v>
      </c>
      <c r="B828" s="13">
        <f>B827/B826</f>
        <v>2171.916010219506</v>
      </c>
      <c r="C828" s="6" t="s">
        <v>14</v>
      </c>
    </row>
    <row r="829" spans="1:3" x14ac:dyDescent="0.8">
      <c r="A829" s="5" t="s">
        <v>15</v>
      </c>
      <c r="B829" s="7">
        <f>(B828/4005)^2</f>
        <v>0.29409051142051318</v>
      </c>
      <c r="C829" s="6" t="s">
        <v>16</v>
      </c>
    </row>
    <row r="830" spans="1:3" x14ac:dyDescent="0.8">
      <c r="A830" s="5" t="s">
        <v>74</v>
      </c>
      <c r="B830" s="7">
        <v>0.11</v>
      </c>
      <c r="C830" s="6" t="s">
        <v>178</v>
      </c>
    </row>
    <row r="831" spans="1:3" x14ac:dyDescent="0.8">
      <c r="A831" s="5" t="s">
        <v>76</v>
      </c>
      <c r="B831" s="14">
        <f>B830*B829</f>
        <v>3.2349956256256453E-2</v>
      </c>
      <c r="C831" s="15" t="s">
        <v>77</v>
      </c>
    </row>
    <row r="832" spans="1:3" x14ac:dyDescent="0.8">
      <c r="A832" s="12" t="s">
        <v>187</v>
      </c>
      <c r="B832" s="13"/>
      <c r="C832" s="6"/>
    </row>
    <row r="833" spans="1:3" x14ac:dyDescent="0.8">
      <c r="A833" s="5" t="s">
        <v>139</v>
      </c>
      <c r="B833" s="13">
        <f>B824</f>
        <v>9.842519685000001</v>
      </c>
      <c r="C833" s="6" t="s">
        <v>7</v>
      </c>
    </row>
    <row r="834" spans="1:3" x14ac:dyDescent="0.8">
      <c r="A834" s="5" t="s">
        <v>140</v>
      </c>
      <c r="B834" s="13">
        <f>B825</f>
        <v>23.622047244000001</v>
      </c>
      <c r="C834" s="6" t="s">
        <v>7</v>
      </c>
    </row>
    <row r="835" spans="1:3" x14ac:dyDescent="0.8">
      <c r="A835" s="5" t="s">
        <v>141</v>
      </c>
      <c r="B835" s="13">
        <f>(B834*B833)/144</f>
        <v>1.6145865624935418</v>
      </c>
      <c r="C835" s="6" t="s">
        <v>10</v>
      </c>
    </row>
    <row r="836" spans="1:3" x14ac:dyDescent="0.8">
      <c r="A836" s="5" t="s">
        <v>142</v>
      </c>
      <c r="B836" s="13">
        <f>B827</f>
        <v>3506.7464049650002</v>
      </c>
      <c r="C836" s="6" t="s">
        <v>72</v>
      </c>
    </row>
    <row r="837" spans="1:3" x14ac:dyDescent="0.8">
      <c r="A837" s="5" t="s">
        <v>143</v>
      </c>
      <c r="B837" s="13">
        <f>B836/B835</f>
        <v>2171.916010219506</v>
      </c>
      <c r="C837" s="6" t="s">
        <v>14</v>
      </c>
    </row>
    <row r="838" spans="1:3" x14ac:dyDescent="0.8">
      <c r="A838" s="5" t="s">
        <v>144</v>
      </c>
      <c r="B838" s="7">
        <f>(B837/4005)^2</f>
        <v>0.29409051142051318</v>
      </c>
      <c r="C838" s="6" t="s">
        <v>16</v>
      </c>
    </row>
    <row r="839" spans="1:3" x14ac:dyDescent="0.8">
      <c r="A839" s="5" t="s">
        <v>145</v>
      </c>
      <c r="B839" s="13">
        <f>B833</f>
        <v>9.842519685000001</v>
      </c>
      <c r="C839" s="6" t="s">
        <v>7</v>
      </c>
    </row>
    <row r="840" spans="1:3" x14ac:dyDescent="0.8">
      <c r="A840" s="5" t="s">
        <v>146</v>
      </c>
      <c r="B840" s="13">
        <f>B834</f>
        <v>23.622047244000001</v>
      </c>
      <c r="C840" s="6" t="s">
        <v>7</v>
      </c>
    </row>
    <row r="841" spans="1:3" x14ac:dyDescent="0.8">
      <c r="A841" s="5" t="s">
        <v>147</v>
      </c>
      <c r="B841" s="13">
        <f>(B840*B839)/144</f>
        <v>1.6145865624935418</v>
      </c>
      <c r="C841" s="6" t="s">
        <v>10</v>
      </c>
    </row>
    <row r="842" spans="1:3" x14ac:dyDescent="0.8">
      <c r="A842" s="5" t="s">
        <v>148</v>
      </c>
      <c r="B842" s="13">
        <f>B836-B848</f>
        <v>1574.3278422290002</v>
      </c>
      <c r="C842" s="6" t="s">
        <v>72</v>
      </c>
    </row>
    <row r="843" spans="1:3" x14ac:dyDescent="0.8">
      <c r="A843" s="5" t="s">
        <v>149</v>
      </c>
      <c r="B843" s="13">
        <f>B842/B841</f>
        <v>975.06561667256369</v>
      </c>
      <c r="C843" s="6" t="s">
        <v>14</v>
      </c>
    </row>
    <row r="844" spans="1:3" x14ac:dyDescent="0.8">
      <c r="A844" s="5" t="s">
        <v>150</v>
      </c>
      <c r="B844" s="7">
        <f>(B843/4005)^2</f>
        <v>5.9273782728957523E-2</v>
      </c>
      <c r="C844" s="6" t="s">
        <v>16</v>
      </c>
    </row>
    <row r="845" spans="1:3" x14ac:dyDescent="0.8">
      <c r="A845" s="5" t="s">
        <v>151</v>
      </c>
      <c r="B845" s="13">
        <f>300*'[2]Design Info, Unit conversions'!$D$56</f>
        <v>11.811023622</v>
      </c>
      <c r="C845" s="6" t="s">
        <v>7</v>
      </c>
    </row>
    <row r="846" spans="1:3" x14ac:dyDescent="0.8">
      <c r="A846" s="5" t="s">
        <v>152</v>
      </c>
      <c r="B846" s="13">
        <f>425*'[2]Design Info, Unit conversions'!$D$56</f>
        <v>16.7322834645</v>
      </c>
      <c r="C846" s="6" t="s">
        <v>7</v>
      </c>
    </row>
    <row r="847" spans="1:3" x14ac:dyDescent="0.8">
      <c r="A847" s="5" t="s">
        <v>153</v>
      </c>
      <c r="B847" s="13">
        <f>(B846*B845)/144</f>
        <v>1.3723985781195105</v>
      </c>
      <c r="C847" s="6" t="s">
        <v>10</v>
      </c>
    </row>
    <row r="848" spans="1:3" x14ac:dyDescent="0.8">
      <c r="A848" s="5" t="s">
        <v>154</v>
      </c>
      <c r="B848" s="13">
        <f>('[2]Terminal Units'!C13+'[2]Terminal Units'!C12+'[2]Terminal Units'!C11)*'[2]Design Info, Unit conversions'!D53</f>
        <v>1932.418562736</v>
      </c>
      <c r="C848" s="6" t="s">
        <v>72</v>
      </c>
    </row>
    <row r="849" spans="1:3" x14ac:dyDescent="0.8">
      <c r="A849" s="5" t="s">
        <v>155</v>
      </c>
      <c r="B849" s="13">
        <f>B848/B847</f>
        <v>1408.0592865258143</v>
      </c>
      <c r="C849" s="6" t="s">
        <v>14</v>
      </c>
    </row>
    <row r="850" spans="1:3" x14ac:dyDescent="0.8">
      <c r="A850" s="5" t="s">
        <v>156</v>
      </c>
      <c r="B850" s="7">
        <f>(B849/4005)^2</f>
        <v>0.12360522844394477</v>
      </c>
      <c r="C850" s="6" t="s">
        <v>16</v>
      </c>
    </row>
    <row r="851" spans="1:3" x14ac:dyDescent="0.8">
      <c r="A851" s="5" t="s">
        <v>157</v>
      </c>
      <c r="B851" s="7">
        <v>0.17</v>
      </c>
      <c r="C851" s="6" t="s">
        <v>158</v>
      </c>
    </row>
    <row r="852" spans="1:3" x14ac:dyDescent="0.8">
      <c r="A852" s="5" t="s">
        <v>159</v>
      </c>
      <c r="B852" s="7">
        <f>B851*B844</f>
        <v>1.0076543063922779E-2</v>
      </c>
      <c r="C852" s="6" t="s">
        <v>120</v>
      </c>
    </row>
    <row r="853" spans="1:3" x14ac:dyDescent="0.8">
      <c r="A853" s="5" t="s">
        <v>160</v>
      </c>
      <c r="B853" s="7">
        <v>11.41</v>
      </c>
      <c r="C853" s="6" t="s">
        <v>158</v>
      </c>
    </row>
    <row r="854" spans="1:3" x14ac:dyDescent="0.8">
      <c r="A854" s="5" t="s">
        <v>161</v>
      </c>
      <c r="B854" s="7">
        <f>B853*B850</f>
        <v>1.4103356565454097</v>
      </c>
      <c r="C854" s="6" t="s">
        <v>120</v>
      </c>
    </row>
    <row r="855" spans="1:3" x14ac:dyDescent="0.8">
      <c r="A855" s="12" t="s">
        <v>188</v>
      </c>
      <c r="B855" s="13"/>
      <c r="C855" s="6"/>
    </row>
    <row r="856" spans="1:3" x14ac:dyDescent="0.8">
      <c r="A856" s="5" t="s">
        <v>81</v>
      </c>
      <c r="B856" s="13">
        <v>2</v>
      </c>
      <c r="C856" s="6" t="s">
        <v>23</v>
      </c>
    </row>
    <row r="857" spans="1:3" x14ac:dyDescent="0.8">
      <c r="A857" s="5" t="s">
        <v>82</v>
      </c>
      <c r="B857" s="7">
        <v>1.75</v>
      </c>
      <c r="C857" s="6" t="s">
        <v>83</v>
      </c>
    </row>
    <row r="858" spans="1:3" x14ac:dyDescent="0.8">
      <c r="A858" s="5" t="s">
        <v>189</v>
      </c>
      <c r="B858" s="14">
        <f>B857*B852</f>
        <v>1.7633950361864863E-2</v>
      </c>
      <c r="C858" s="15" t="s">
        <v>77</v>
      </c>
    </row>
    <row r="859" spans="1:3" x14ac:dyDescent="0.8">
      <c r="A859" s="5" t="s">
        <v>190</v>
      </c>
      <c r="B859" s="25">
        <f>B857*B854</f>
        <v>2.4680873989544669</v>
      </c>
      <c r="C859" s="26" t="s">
        <v>77</v>
      </c>
    </row>
    <row r="860" spans="1:3" x14ac:dyDescent="0.8">
      <c r="A860" s="12" t="s">
        <v>89</v>
      </c>
      <c r="B860" s="13"/>
      <c r="C860" s="6"/>
    </row>
    <row r="861" spans="1:3" x14ac:dyDescent="0.8">
      <c r="A861" s="5" t="s">
        <v>6</v>
      </c>
      <c r="B861" s="13">
        <f>600*'[2]Design Info, Unit conversions'!D56</f>
        <v>23.622047244000001</v>
      </c>
      <c r="C861" s="6" t="s">
        <v>7</v>
      </c>
    </row>
    <row r="862" spans="1:3" x14ac:dyDescent="0.8">
      <c r="A862" s="5" t="s">
        <v>8</v>
      </c>
      <c r="B862" s="13">
        <f>250*'[2]Design Info, Unit conversions'!D56</f>
        <v>9.842519685000001</v>
      </c>
      <c r="C862" s="6" t="s">
        <v>7</v>
      </c>
    </row>
    <row r="863" spans="1:3" x14ac:dyDescent="0.8">
      <c r="A863" s="5" t="s">
        <v>9</v>
      </c>
      <c r="B863" s="13">
        <f>(B862*B861)/144</f>
        <v>1.6145865624935418</v>
      </c>
      <c r="C863" s="6" t="s">
        <v>10</v>
      </c>
    </row>
    <row r="864" spans="1:3" x14ac:dyDescent="0.8">
      <c r="A864" s="5" t="s">
        <v>21</v>
      </c>
      <c r="B864" s="13">
        <f>B842</f>
        <v>1574.3278422290002</v>
      </c>
      <c r="C864" s="6" t="s">
        <v>33</v>
      </c>
    </row>
    <row r="865" spans="1:3" x14ac:dyDescent="0.8">
      <c r="A865" s="5" t="s">
        <v>13</v>
      </c>
      <c r="B865" s="13">
        <f>B864/B863</f>
        <v>975.06561667256369</v>
      </c>
      <c r="C865" s="6" t="s">
        <v>14</v>
      </c>
    </row>
    <row r="866" spans="1:3" x14ac:dyDescent="0.8">
      <c r="A866" s="5" t="s">
        <v>15</v>
      </c>
      <c r="B866" s="7">
        <f>(B865/4005)^2</f>
        <v>5.9273782728957523E-2</v>
      </c>
      <c r="C866" s="6" t="s">
        <v>16</v>
      </c>
    </row>
    <row r="867" spans="1:3" x14ac:dyDescent="0.8">
      <c r="A867" s="5" t="s">
        <v>22</v>
      </c>
      <c r="B867" s="7">
        <f>8*'[2]Design Info, Unit conversions'!D56*1000/12</f>
        <v>26.246719160000001</v>
      </c>
      <c r="C867" s="6" t="s">
        <v>23</v>
      </c>
    </row>
    <row r="868" spans="1:3" x14ac:dyDescent="0.8">
      <c r="A868" s="5" t="s">
        <v>28</v>
      </c>
      <c r="B868" s="14">
        <v>0.02</v>
      </c>
      <c r="C868" s="15" t="s">
        <v>34</v>
      </c>
    </row>
    <row r="869" spans="1:3" x14ac:dyDescent="0.8">
      <c r="A869" s="22" t="s">
        <v>191</v>
      </c>
      <c r="B869" s="13"/>
      <c r="C869" s="6"/>
    </row>
    <row r="870" spans="1:3" x14ac:dyDescent="0.8">
      <c r="A870" s="5" t="s">
        <v>6</v>
      </c>
      <c r="B870" s="13">
        <f>B861</f>
        <v>23.622047244000001</v>
      </c>
      <c r="C870" s="6" t="s">
        <v>7</v>
      </c>
    </row>
    <row r="871" spans="1:3" x14ac:dyDescent="0.8">
      <c r="A871" s="5" t="s">
        <v>103</v>
      </c>
      <c r="B871" s="13">
        <f>B862</f>
        <v>9.842519685000001</v>
      </c>
      <c r="C871" s="6" t="s">
        <v>7</v>
      </c>
    </row>
    <row r="872" spans="1:3" x14ac:dyDescent="0.8">
      <c r="A872" s="5" t="s">
        <v>104</v>
      </c>
      <c r="B872" s="13">
        <f>(B871*B870)/144</f>
        <v>1.6145865624935418</v>
      </c>
      <c r="C872" s="6" t="s">
        <v>10</v>
      </c>
    </row>
    <row r="873" spans="1:3" x14ac:dyDescent="0.8">
      <c r="A873" s="5" t="s">
        <v>118</v>
      </c>
      <c r="B873" s="13">
        <f>B885</f>
        <v>15.748031496000001</v>
      </c>
      <c r="C873" s="6" t="s">
        <v>7</v>
      </c>
    </row>
    <row r="874" spans="1:3" x14ac:dyDescent="0.8">
      <c r="A874" s="5" t="s">
        <v>105</v>
      </c>
      <c r="B874" s="13">
        <f>B886</f>
        <v>13.779527559</v>
      </c>
      <c r="C874" s="6" t="s">
        <v>7</v>
      </c>
    </row>
    <row r="875" spans="1:3" x14ac:dyDescent="0.8">
      <c r="A875" s="5" t="s">
        <v>106</v>
      </c>
      <c r="B875" s="13">
        <f>(B874*B873)/144</f>
        <v>1.5069474583273057</v>
      </c>
      <c r="C875" s="6" t="s">
        <v>10</v>
      </c>
    </row>
    <row r="876" spans="1:3" x14ac:dyDescent="0.8">
      <c r="A876" s="5" t="s">
        <v>168</v>
      </c>
      <c r="B876" s="13">
        <v>24</v>
      </c>
      <c r="C876" s="6" t="s">
        <v>7</v>
      </c>
    </row>
    <row r="877" spans="1:3" x14ac:dyDescent="0.8">
      <c r="A877" s="5" t="s">
        <v>11</v>
      </c>
      <c r="B877" s="13">
        <f>B864</f>
        <v>1574.3278422290002</v>
      </c>
      <c r="C877" s="6" t="s">
        <v>72</v>
      </c>
    </row>
    <row r="878" spans="1:3" x14ac:dyDescent="0.8">
      <c r="A878" s="5" t="s">
        <v>107</v>
      </c>
      <c r="B878" s="13">
        <f>B877/B872</f>
        <v>975.06561667256369</v>
      </c>
      <c r="C878" s="6" t="s">
        <v>14</v>
      </c>
    </row>
    <row r="879" spans="1:3" x14ac:dyDescent="0.8">
      <c r="A879" s="5" t="s">
        <v>108</v>
      </c>
      <c r="B879" s="7">
        <f>(B878/4005)^2</f>
        <v>5.9273782728957523E-2</v>
      </c>
      <c r="C879" s="6" t="s">
        <v>16</v>
      </c>
    </row>
    <row r="880" spans="1:3" x14ac:dyDescent="0.8">
      <c r="A880" s="5" t="s">
        <v>109</v>
      </c>
      <c r="B880" s="13">
        <f>B877/B875</f>
        <v>1044.713160720604</v>
      </c>
      <c r="C880" s="6" t="s">
        <v>14</v>
      </c>
    </row>
    <row r="881" spans="1:3" x14ac:dyDescent="0.8">
      <c r="A881" s="5" t="s">
        <v>111</v>
      </c>
      <c r="B881" s="7">
        <f>(B880/4005)^2</f>
        <v>6.8043883234772673E-2</v>
      </c>
      <c r="C881" s="6" t="s">
        <v>16</v>
      </c>
    </row>
    <row r="882" spans="1:3" x14ac:dyDescent="0.8">
      <c r="A882" s="5" t="s">
        <v>157</v>
      </c>
      <c r="B882" s="7">
        <v>0.01</v>
      </c>
      <c r="C882" s="6" t="s">
        <v>192</v>
      </c>
    </row>
    <row r="883" spans="1:3" x14ac:dyDescent="0.8">
      <c r="A883" s="5" t="s">
        <v>159</v>
      </c>
      <c r="B883" s="14">
        <f>B882*B879</f>
        <v>5.9273782728957525E-4</v>
      </c>
      <c r="C883" s="15" t="s">
        <v>120</v>
      </c>
    </row>
    <row r="884" spans="1:3" x14ac:dyDescent="0.8">
      <c r="A884" s="12" t="s">
        <v>89</v>
      </c>
      <c r="B884" s="13"/>
      <c r="C884" s="6"/>
    </row>
    <row r="885" spans="1:3" x14ac:dyDescent="0.8">
      <c r="A885" s="5" t="s">
        <v>6</v>
      </c>
      <c r="B885" s="13">
        <f>400*'[2]Design Info, Unit conversions'!D56</f>
        <v>15.748031496000001</v>
      </c>
      <c r="C885" s="6" t="s">
        <v>7</v>
      </c>
    </row>
    <row r="886" spans="1:3" x14ac:dyDescent="0.8">
      <c r="A886" s="5" t="s">
        <v>8</v>
      </c>
      <c r="B886" s="13">
        <f>350*'[2]Design Info, Unit conversions'!D56</f>
        <v>13.779527559</v>
      </c>
      <c r="C886" s="6" t="s">
        <v>7</v>
      </c>
    </row>
    <row r="887" spans="1:3" x14ac:dyDescent="0.8">
      <c r="A887" s="5" t="s">
        <v>9</v>
      </c>
      <c r="B887" s="13">
        <f>(B886*B885)/144</f>
        <v>1.5069474583273057</v>
      </c>
      <c r="C887" s="6" t="s">
        <v>10</v>
      </c>
    </row>
    <row r="888" spans="1:3" x14ac:dyDescent="0.8">
      <c r="A888" s="5" t="s">
        <v>21</v>
      </c>
      <c r="B888" s="13">
        <f>B864</f>
        <v>1574.3278422290002</v>
      </c>
      <c r="C888" s="6" t="s">
        <v>33</v>
      </c>
    </row>
    <row r="889" spans="1:3" x14ac:dyDescent="0.8">
      <c r="A889" s="5" t="s">
        <v>13</v>
      </c>
      <c r="B889" s="13">
        <f>B888/B887</f>
        <v>1044.713160720604</v>
      </c>
      <c r="C889" s="6" t="s">
        <v>14</v>
      </c>
    </row>
    <row r="890" spans="1:3" x14ac:dyDescent="0.8">
      <c r="A890" s="5" t="s">
        <v>15</v>
      </c>
      <c r="B890" s="7">
        <f>(B889/4005)^2</f>
        <v>6.8043883234772673E-2</v>
      </c>
      <c r="C890" s="6" t="s">
        <v>16</v>
      </c>
    </row>
    <row r="891" spans="1:3" x14ac:dyDescent="0.8">
      <c r="A891" s="5" t="s">
        <v>22</v>
      </c>
      <c r="B891" s="7">
        <f>8*'[2]Design Info, Unit conversions'!D56*1000/12</f>
        <v>26.246719160000001</v>
      </c>
      <c r="C891" s="6" t="s">
        <v>23</v>
      </c>
    </row>
    <row r="892" spans="1:3" x14ac:dyDescent="0.8">
      <c r="A892" s="5" t="s">
        <v>28</v>
      </c>
      <c r="B892" s="14">
        <v>0.02</v>
      </c>
      <c r="C892" s="15" t="s">
        <v>34</v>
      </c>
    </row>
    <row r="893" spans="1:3" x14ac:dyDescent="0.8">
      <c r="A893" s="22" t="s">
        <v>98</v>
      </c>
      <c r="B893" s="13"/>
      <c r="C893" s="6"/>
    </row>
    <row r="894" spans="1:3" x14ac:dyDescent="0.8">
      <c r="A894" s="5" t="s">
        <v>6</v>
      </c>
      <c r="B894" s="13">
        <f>B885</f>
        <v>15.748031496000001</v>
      </c>
      <c r="C894" s="6" t="s">
        <v>7</v>
      </c>
    </row>
    <row r="895" spans="1:3" x14ac:dyDescent="0.8">
      <c r="A895" s="5" t="s">
        <v>8</v>
      </c>
      <c r="B895" s="13">
        <f>B886</f>
        <v>13.779527559</v>
      </c>
      <c r="C895" s="6" t="s">
        <v>7</v>
      </c>
    </row>
    <row r="896" spans="1:3" x14ac:dyDescent="0.8">
      <c r="A896" s="5" t="s">
        <v>9</v>
      </c>
      <c r="B896" s="13">
        <f>(B895*B894)/144</f>
        <v>1.5069474583273057</v>
      </c>
      <c r="C896" s="6" t="s">
        <v>10</v>
      </c>
    </row>
    <row r="897" spans="1:3" x14ac:dyDescent="0.8">
      <c r="A897" s="5" t="s">
        <v>11</v>
      </c>
      <c r="B897" s="13">
        <f>B888</f>
        <v>1574.3278422290002</v>
      </c>
      <c r="C897" s="6" t="s">
        <v>72</v>
      </c>
    </row>
    <row r="898" spans="1:3" x14ac:dyDescent="0.8">
      <c r="A898" s="5" t="s">
        <v>13</v>
      </c>
      <c r="B898" s="13">
        <f>B897/B896</f>
        <v>1044.713160720604</v>
      </c>
      <c r="C898" s="6" t="s">
        <v>14</v>
      </c>
    </row>
    <row r="899" spans="1:3" x14ac:dyDescent="0.8">
      <c r="A899" s="5" t="s">
        <v>15</v>
      </c>
      <c r="B899" s="7">
        <f>(B898/4005)^2</f>
        <v>6.8043883234772673E-2</v>
      </c>
      <c r="C899" s="6" t="s">
        <v>16</v>
      </c>
    </row>
    <row r="900" spans="1:3" x14ac:dyDescent="0.8">
      <c r="A900" s="5" t="s">
        <v>74</v>
      </c>
      <c r="B900" s="7">
        <v>0.11</v>
      </c>
      <c r="C900" s="6" t="s">
        <v>178</v>
      </c>
    </row>
    <row r="901" spans="1:3" x14ac:dyDescent="0.8">
      <c r="A901" s="5" t="s">
        <v>76</v>
      </c>
      <c r="B901" s="14">
        <f>B900*B899</f>
        <v>7.4848271558249939E-3</v>
      </c>
      <c r="C901" s="15" t="s">
        <v>77</v>
      </c>
    </row>
    <row r="902" spans="1:3" x14ac:dyDescent="0.8">
      <c r="A902" s="12" t="s">
        <v>89</v>
      </c>
      <c r="B902" s="13"/>
      <c r="C902" s="6"/>
    </row>
    <row r="903" spans="1:3" x14ac:dyDescent="0.8">
      <c r="A903" s="5" t="s">
        <v>6</v>
      </c>
      <c r="B903" s="13">
        <f>B885</f>
        <v>15.748031496000001</v>
      </c>
      <c r="C903" s="6" t="s">
        <v>7</v>
      </c>
    </row>
    <row r="904" spans="1:3" x14ac:dyDescent="0.8">
      <c r="A904" s="5" t="s">
        <v>8</v>
      </c>
      <c r="B904" s="13">
        <f t="shared" ref="B904:B906" si="0">B886</f>
        <v>13.779527559</v>
      </c>
      <c r="C904" s="6" t="s">
        <v>7</v>
      </c>
    </row>
    <row r="905" spans="1:3" x14ac:dyDescent="0.8">
      <c r="A905" s="5" t="s">
        <v>9</v>
      </c>
      <c r="B905" s="13">
        <f t="shared" si="0"/>
        <v>1.5069474583273057</v>
      </c>
      <c r="C905" s="6" t="s">
        <v>10</v>
      </c>
    </row>
    <row r="906" spans="1:3" x14ac:dyDescent="0.8">
      <c r="A906" s="5" t="s">
        <v>21</v>
      </c>
      <c r="B906" s="13">
        <f t="shared" si="0"/>
        <v>1574.3278422290002</v>
      </c>
      <c r="C906" s="6" t="s">
        <v>33</v>
      </c>
    </row>
    <row r="907" spans="1:3" x14ac:dyDescent="0.8">
      <c r="A907" s="5" t="s">
        <v>13</v>
      </c>
      <c r="B907" s="13">
        <f>B906/B905</f>
        <v>1044.713160720604</v>
      </c>
      <c r="C907" s="6" t="s">
        <v>14</v>
      </c>
    </row>
    <row r="908" spans="1:3" x14ac:dyDescent="0.8">
      <c r="A908" s="5" t="s">
        <v>15</v>
      </c>
      <c r="B908" s="7">
        <f>(B907/4005)^2</f>
        <v>6.8043883234772673E-2</v>
      </c>
      <c r="C908" s="6" t="s">
        <v>16</v>
      </c>
    </row>
    <row r="909" spans="1:3" x14ac:dyDescent="0.8">
      <c r="A909" s="5" t="s">
        <v>22</v>
      </c>
      <c r="B909" s="7">
        <f>10*'[2]Design Info, Unit conversions'!D56*1000/12</f>
        <v>32.808398950000004</v>
      </c>
      <c r="C909" s="6" t="s">
        <v>23</v>
      </c>
    </row>
    <row r="910" spans="1:3" x14ac:dyDescent="0.8">
      <c r="A910" s="5" t="s">
        <v>28</v>
      </c>
      <c r="B910" s="14">
        <v>0.04</v>
      </c>
      <c r="C910" s="15" t="s">
        <v>34</v>
      </c>
    </row>
    <row r="911" spans="1:3" x14ac:dyDescent="0.8">
      <c r="A911" s="22" t="s">
        <v>98</v>
      </c>
      <c r="B911" s="13"/>
      <c r="C911" s="6"/>
    </row>
    <row r="912" spans="1:3" x14ac:dyDescent="0.8">
      <c r="A912" s="5" t="s">
        <v>6</v>
      </c>
      <c r="B912" s="13">
        <f>250*'[2]Design Info, Unit conversions'!D56</f>
        <v>9.842519685000001</v>
      </c>
      <c r="C912" s="6" t="s">
        <v>7</v>
      </c>
    </row>
    <row r="913" spans="1:3" x14ac:dyDescent="0.8">
      <c r="A913" s="5" t="s">
        <v>8</v>
      </c>
      <c r="B913" s="13">
        <f>300*'[2]Design Info, Unit conversions'!D56</f>
        <v>11.811023622</v>
      </c>
      <c r="C913" s="6" t="s">
        <v>7</v>
      </c>
    </row>
    <row r="914" spans="1:3" x14ac:dyDescent="0.8">
      <c r="A914" s="5" t="s">
        <v>9</v>
      </c>
      <c r="B914" s="13">
        <f>(B913*B912)/144</f>
        <v>0.80729328124677091</v>
      </c>
      <c r="C914" s="6" t="s">
        <v>10</v>
      </c>
    </row>
    <row r="915" spans="1:3" x14ac:dyDescent="0.8">
      <c r="A915" s="5" t="s">
        <v>11</v>
      </c>
      <c r="B915" s="13">
        <f>B906-'[2]Terminal Units'!C10</f>
        <v>886.32784222900023</v>
      </c>
      <c r="C915" s="6" t="s">
        <v>72</v>
      </c>
    </row>
    <row r="916" spans="1:3" x14ac:dyDescent="0.8">
      <c r="A916" s="5" t="s">
        <v>13</v>
      </c>
      <c r="B916" s="13">
        <f>B915/B914</f>
        <v>1097.9006797383097</v>
      </c>
      <c r="C916" s="6" t="s">
        <v>14</v>
      </c>
    </row>
    <row r="917" spans="1:3" x14ac:dyDescent="0.8">
      <c r="A917" s="5" t="s">
        <v>15</v>
      </c>
      <c r="B917" s="7">
        <f>(B916/4005)^2</f>
        <v>7.5148629916090684E-2</v>
      </c>
      <c r="C917" s="6" t="s">
        <v>16</v>
      </c>
    </row>
    <row r="918" spans="1:3" x14ac:dyDescent="0.8">
      <c r="A918" s="5" t="s">
        <v>74</v>
      </c>
      <c r="B918" s="7">
        <v>0.11</v>
      </c>
      <c r="C918" s="6" t="s">
        <v>178</v>
      </c>
    </row>
    <row r="919" spans="1:3" x14ac:dyDescent="0.8">
      <c r="A919" s="5" t="s">
        <v>76</v>
      </c>
      <c r="B919" s="14">
        <f>B918*B917</f>
        <v>8.266349290769975E-3</v>
      </c>
      <c r="C919" s="15" t="s">
        <v>77</v>
      </c>
    </row>
    <row r="920" spans="1:3" x14ac:dyDescent="0.8">
      <c r="A920" s="22" t="s">
        <v>193</v>
      </c>
      <c r="B920" s="13"/>
      <c r="C920" s="6"/>
    </row>
    <row r="921" spans="1:3" x14ac:dyDescent="0.8">
      <c r="A921" s="5" t="s">
        <v>6</v>
      </c>
      <c r="B921" s="13">
        <f>B912</f>
        <v>9.842519685000001</v>
      </c>
      <c r="C921" s="6" t="s">
        <v>7</v>
      </c>
    </row>
    <row r="922" spans="1:3" x14ac:dyDescent="0.8">
      <c r="A922" s="5" t="s">
        <v>103</v>
      </c>
      <c r="B922" s="13">
        <f>B913</f>
        <v>11.811023622</v>
      </c>
      <c r="C922" s="6" t="s">
        <v>7</v>
      </c>
    </row>
    <row r="923" spans="1:3" x14ac:dyDescent="0.8">
      <c r="A923" s="5" t="s">
        <v>104</v>
      </c>
      <c r="B923" s="13">
        <f>(B922*B921)/144</f>
        <v>0.80729328124677091</v>
      </c>
      <c r="C923" s="6" t="s">
        <v>10</v>
      </c>
    </row>
    <row r="924" spans="1:3" x14ac:dyDescent="0.8">
      <c r="A924" s="5" t="s">
        <v>194</v>
      </c>
      <c r="B924" s="13">
        <f>300*'[2]Design Info, Unit conversions'!D56</f>
        <v>11.811023622</v>
      </c>
      <c r="C924" s="6" t="s">
        <v>7</v>
      </c>
    </row>
    <row r="925" spans="1:3" x14ac:dyDescent="0.8">
      <c r="A925" s="5" t="s">
        <v>106</v>
      </c>
      <c r="B925" s="13">
        <f>(PI()*(((B924)^2)/4))/((12)^2)</f>
        <v>0.76085599249717617</v>
      </c>
      <c r="C925" s="6" t="s">
        <v>10</v>
      </c>
    </row>
    <row r="926" spans="1:3" x14ac:dyDescent="0.8">
      <c r="A926" s="5" t="s">
        <v>168</v>
      </c>
      <c r="B926" s="13">
        <v>12</v>
      </c>
      <c r="C926" s="6" t="s">
        <v>7</v>
      </c>
    </row>
    <row r="927" spans="1:3" x14ac:dyDescent="0.8">
      <c r="A927" s="5" t="s">
        <v>11</v>
      </c>
      <c r="B927" s="13">
        <f>B915</f>
        <v>886.32784222900023</v>
      </c>
      <c r="C927" s="6" t="s">
        <v>72</v>
      </c>
    </row>
    <row r="928" spans="1:3" x14ac:dyDescent="0.8">
      <c r="A928" s="5" t="s">
        <v>107</v>
      </c>
      <c r="B928" s="13">
        <f>B927/B923</f>
        <v>1097.9006797383097</v>
      </c>
      <c r="C928" s="6" t="s">
        <v>14</v>
      </c>
    </row>
    <row r="929" spans="1:3" x14ac:dyDescent="0.8">
      <c r="A929" s="5" t="s">
        <v>108</v>
      </c>
      <c r="B929" s="7">
        <f>(B928/4005)^2</f>
        <v>7.5148629916090684E-2</v>
      </c>
      <c r="C929" s="6" t="s">
        <v>16</v>
      </c>
    </row>
    <row r="930" spans="1:3" x14ac:dyDescent="0.8">
      <c r="A930" s="5" t="s">
        <v>109</v>
      </c>
      <c r="B930" s="13">
        <f>B927/B925</f>
        <v>1164.9088013620262</v>
      </c>
      <c r="C930" s="6" t="s">
        <v>14</v>
      </c>
    </row>
    <row r="931" spans="1:3" x14ac:dyDescent="0.8">
      <c r="A931" s="5" t="s">
        <v>111</v>
      </c>
      <c r="B931" s="7">
        <f>(B930/4005)^2</f>
        <v>8.4601645913314524E-2</v>
      </c>
      <c r="C931" s="6" t="s">
        <v>16</v>
      </c>
    </row>
    <row r="932" spans="1:3" x14ac:dyDescent="0.8">
      <c r="A932" s="5" t="s">
        <v>76</v>
      </c>
      <c r="B932" s="14">
        <v>0</v>
      </c>
      <c r="C932" s="15" t="s">
        <v>195</v>
      </c>
    </row>
    <row r="933" spans="1:3" x14ac:dyDescent="0.8">
      <c r="A933" s="12" t="s">
        <v>196</v>
      </c>
      <c r="B933" s="13"/>
      <c r="C933" s="6"/>
    </row>
    <row r="934" spans="1:3" x14ac:dyDescent="0.8">
      <c r="A934" s="5" t="s">
        <v>197</v>
      </c>
      <c r="B934" s="13">
        <f>B924</f>
        <v>11.811023622</v>
      </c>
      <c r="C934" s="6" t="s">
        <v>7</v>
      </c>
    </row>
    <row r="935" spans="1:3" x14ac:dyDescent="0.8">
      <c r="A935" s="5" t="s">
        <v>9</v>
      </c>
      <c r="B935" s="13">
        <f>(PI()*(((B934)^2)/4))/((12)^2)</f>
        <v>0.76085599249717617</v>
      </c>
      <c r="C935" s="6" t="s">
        <v>10</v>
      </c>
    </row>
    <row r="936" spans="1:3" x14ac:dyDescent="0.8">
      <c r="A936" s="5" t="s">
        <v>21</v>
      </c>
      <c r="B936" s="13">
        <f>B927</f>
        <v>886.32784222900023</v>
      </c>
      <c r="C936" s="6" t="s">
        <v>33</v>
      </c>
    </row>
    <row r="937" spans="1:3" x14ac:dyDescent="0.8">
      <c r="A937" s="5" t="s">
        <v>13</v>
      </c>
      <c r="B937" s="13">
        <f>B936/B935</f>
        <v>1164.9088013620262</v>
      </c>
      <c r="C937" s="6" t="s">
        <v>14</v>
      </c>
    </row>
    <row r="938" spans="1:3" x14ac:dyDescent="0.8">
      <c r="A938" s="5" t="s">
        <v>15</v>
      </c>
      <c r="B938" s="7">
        <f>(B937/4005)^2</f>
        <v>8.4601645913314524E-2</v>
      </c>
      <c r="C938" s="6" t="s">
        <v>16</v>
      </c>
    </row>
    <row r="939" spans="1:3" x14ac:dyDescent="0.8">
      <c r="A939" s="5" t="s">
        <v>22</v>
      </c>
      <c r="B939" s="7">
        <f>2*'[2]Design Info, Unit conversions'!D56*1000/12</f>
        <v>6.5616797900000003</v>
      </c>
      <c r="C939" s="6" t="s">
        <v>23</v>
      </c>
    </row>
    <row r="940" spans="1:3" x14ac:dyDescent="0.8">
      <c r="A940" s="5" t="s">
        <v>28</v>
      </c>
      <c r="B940" s="14">
        <v>0</v>
      </c>
      <c r="C940" s="15" t="s">
        <v>34</v>
      </c>
    </row>
    <row r="941" spans="1:3" x14ac:dyDescent="0.8">
      <c r="A941" s="12" t="s">
        <v>198</v>
      </c>
      <c r="B941" s="13"/>
      <c r="C941" s="6"/>
    </row>
    <row r="942" spans="1:3" x14ac:dyDescent="0.8">
      <c r="A942" s="5" t="s">
        <v>199</v>
      </c>
      <c r="B942" s="13">
        <f>300*'[2]Design Info, Unit conversions'!D56</f>
        <v>11.811023622</v>
      </c>
      <c r="C942" s="6" t="s">
        <v>7</v>
      </c>
    </row>
    <row r="943" spans="1:3" x14ac:dyDescent="0.8">
      <c r="A943" s="5" t="s">
        <v>104</v>
      </c>
      <c r="B943" s="13">
        <f>(PI()*(((B942)^2)/4))/((12)^2)</f>
        <v>0.76085599249717617</v>
      </c>
      <c r="C943" s="6" t="s">
        <v>10</v>
      </c>
    </row>
    <row r="944" spans="1:3" x14ac:dyDescent="0.8">
      <c r="A944" s="5" t="s">
        <v>142</v>
      </c>
      <c r="B944" s="13">
        <f>B936</f>
        <v>886.32784222900023</v>
      </c>
      <c r="C944" s="6" t="s">
        <v>72</v>
      </c>
    </row>
    <row r="945" spans="1:3" x14ac:dyDescent="0.8">
      <c r="A945" s="5" t="s">
        <v>143</v>
      </c>
      <c r="B945" s="13">
        <f>B944/B943</f>
        <v>1164.9088013620262</v>
      </c>
      <c r="C945" s="6" t="s">
        <v>14</v>
      </c>
    </row>
    <row r="946" spans="1:3" x14ac:dyDescent="0.8">
      <c r="A946" s="5" t="s">
        <v>144</v>
      </c>
      <c r="B946" s="7">
        <f>(B945/4005)^2</f>
        <v>8.4601645913314524E-2</v>
      </c>
      <c r="C946" s="6" t="s">
        <v>16</v>
      </c>
    </row>
    <row r="947" spans="1:3" x14ac:dyDescent="0.8">
      <c r="A947" s="5" t="s">
        <v>200</v>
      </c>
      <c r="B947" s="13">
        <f>150*'[2]Design Info, Unit conversions'!D56</f>
        <v>5.9055118110000002</v>
      </c>
      <c r="C947" s="6" t="s">
        <v>7</v>
      </c>
    </row>
    <row r="948" spans="1:3" x14ac:dyDescent="0.8">
      <c r="A948" s="5" t="s">
        <v>106</v>
      </c>
      <c r="B948" s="13">
        <f>(PI()*(((B947)^2)/4))/((12)^2)</f>
        <v>0.19021399812429404</v>
      </c>
      <c r="C948" s="6" t="s">
        <v>10</v>
      </c>
    </row>
    <row r="949" spans="1:3" x14ac:dyDescent="0.8">
      <c r="A949" s="5" t="s">
        <v>148</v>
      </c>
      <c r="B949" s="13">
        <f>B944-B954</f>
        <v>352.37008147300014</v>
      </c>
      <c r="C949" s="6" t="s">
        <v>72</v>
      </c>
    </row>
    <row r="950" spans="1:3" x14ac:dyDescent="0.8">
      <c r="A950" s="5" t="s">
        <v>149</v>
      </c>
      <c r="B950" s="13">
        <f>B949/B948</f>
        <v>1852.4929024558242</v>
      </c>
      <c r="C950" s="6" t="s">
        <v>14</v>
      </c>
    </row>
    <row r="951" spans="1:3" x14ac:dyDescent="0.8">
      <c r="A951" s="5" t="s">
        <v>150</v>
      </c>
      <c r="B951" s="7">
        <f>(B950/4005)^2</f>
        <v>0.21394791801441732</v>
      </c>
      <c r="C951" s="6" t="s">
        <v>16</v>
      </c>
    </row>
    <row r="952" spans="1:3" x14ac:dyDescent="0.8">
      <c r="A952" s="5" t="s">
        <v>201</v>
      </c>
      <c r="B952" s="13">
        <f>250*'[2]Design Info, Unit conversions'!D56</f>
        <v>9.842519685000001</v>
      </c>
      <c r="C952" s="6" t="s">
        <v>7</v>
      </c>
    </row>
    <row r="953" spans="1:3" x14ac:dyDescent="0.8">
      <c r="A953" s="5" t="s">
        <v>202</v>
      </c>
      <c r="B953" s="7">
        <f>(PI()*(((B952)^2)/4))/((12)^2)</f>
        <v>0.52837221701192805</v>
      </c>
      <c r="C953" s="6" t="s">
        <v>10</v>
      </c>
    </row>
    <row r="954" spans="1:3" x14ac:dyDescent="0.8">
      <c r="A954" s="5" t="s">
        <v>154</v>
      </c>
      <c r="B954" s="13">
        <f>'[2]Terminal Units'!C9*'[2]Design Info, Unit conversions'!D53</f>
        <v>533.95776075600008</v>
      </c>
      <c r="C954" s="6" t="s">
        <v>72</v>
      </c>
    </row>
    <row r="955" spans="1:3" x14ac:dyDescent="0.8">
      <c r="A955" s="5" t="s">
        <v>155</v>
      </c>
      <c r="B955" s="13">
        <f>B954/B953</f>
        <v>1010.5712290772207</v>
      </c>
      <c r="C955" s="6" t="s">
        <v>14</v>
      </c>
    </row>
    <row r="956" spans="1:3" x14ac:dyDescent="0.8">
      <c r="A956" s="5" t="s">
        <v>156</v>
      </c>
      <c r="B956" s="7">
        <f>(B955/4005)^2</f>
        <v>6.366911579244075E-2</v>
      </c>
      <c r="C956" s="6" t="s">
        <v>16</v>
      </c>
    </row>
    <row r="957" spans="1:3" x14ac:dyDescent="0.8">
      <c r="A957" s="5" t="s">
        <v>157</v>
      </c>
      <c r="B957" s="7">
        <v>0.15</v>
      </c>
      <c r="C957" s="6" t="s">
        <v>203</v>
      </c>
    </row>
    <row r="958" spans="1:3" x14ac:dyDescent="0.8">
      <c r="A958" s="5" t="s">
        <v>159</v>
      </c>
      <c r="B958" s="14">
        <f>B957*B951</f>
        <v>3.2092187702162593E-2</v>
      </c>
      <c r="C958" s="15" t="s">
        <v>120</v>
      </c>
    </row>
    <row r="959" spans="1:3" x14ac:dyDescent="0.8">
      <c r="A959" s="5" t="s">
        <v>160</v>
      </c>
      <c r="B959" s="7">
        <v>0.88</v>
      </c>
      <c r="C959" s="6" t="s">
        <v>203</v>
      </c>
    </row>
    <row r="960" spans="1:3" x14ac:dyDescent="0.8">
      <c r="A960" s="5" t="s">
        <v>161</v>
      </c>
      <c r="B960" s="25">
        <f>B959*B956</f>
        <v>5.6028821897347862E-2</v>
      </c>
      <c r="C960" s="26" t="s">
        <v>120</v>
      </c>
    </row>
    <row r="961" spans="1:3" x14ac:dyDescent="0.8">
      <c r="A961" s="12" t="s">
        <v>196</v>
      </c>
      <c r="B961" s="13"/>
      <c r="C961" s="6"/>
    </row>
    <row r="962" spans="1:3" x14ac:dyDescent="0.8">
      <c r="A962" s="5" t="s">
        <v>197</v>
      </c>
      <c r="B962" s="13">
        <f>B952</f>
        <v>9.842519685000001</v>
      </c>
      <c r="C962" s="6" t="s">
        <v>7</v>
      </c>
    </row>
    <row r="963" spans="1:3" x14ac:dyDescent="0.8">
      <c r="A963" s="5" t="s">
        <v>9</v>
      </c>
      <c r="B963" s="13">
        <f>(PI()*(((B962)^2)/4))/((12)^2)</f>
        <v>0.52837221701192805</v>
      </c>
      <c r="C963" s="6" t="s">
        <v>10</v>
      </c>
    </row>
    <row r="964" spans="1:3" x14ac:dyDescent="0.8">
      <c r="A964" s="5" t="s">
        <v>21</v>
      </c>
      <c r="B964" s="13">
        <f>B954</f>
        <v>533.95776075600008</v>
      </c>
      <c r="C964" s="6" t="s">
        <v>33</v>
      </c>
    </row>
    <row r="965" spans="1:3" x14ac:dyDescent="0.8">
      <c r="A965" s="5" t="s">
        <v>13</v>
      </c>
      <c r="B965" s="13">
        <f>B964/B963</f>
        <v>1010.5712290772207</v>
      </c>
      <c r="C965" s="6" t="s">
        <v>14</v>
      </c>
    </row>
    <row r="966" spans="1:3" x14ac:dyDescent="0.8">
      <c r="A966" s="5" t="s">
        <v>15</v>
      </c>
      <c r="B966" s="7">
        <f>(B965/4005)^2</f>
        <v>6.366911579244075E-2</v>
      </c>
      <c r="C966" s="6" t="s">
        <v>16</v>
      </c>
    </row>
    <row r="967" spans="1:3" x14ac:dyDescent="0.8">
      <c r="A967" s="5" t="s">
        <v>22</v>
      </c>
      <c r="B967" s="7">
        <f>5*'[2]Design Info, Unit conversions'!D56*1000/12</f>
        <v>16.404199475000002</v>
      </c>
      <c r="C967" s="6" t="s">
        <v>23</v>
      </c>
    </row>
    <row r="968" spans="1:3" x14ac:dyDescent="0.8">
      <c r="A968" s="5" t="s">
        <v>28</v>
      </c>
      <c r="B968" s="14">
        <v>0.02</v>
      </c>
      <c r="C968" s="15" t="s">
        <v>34</v>
      </c>
    </row>
    <row r="969" spans="1:3" x14ac:dyDescent="0.8">
      <c r="A969" s="12" t="s">
        <v>29</v>
      </c>
    </row>
    <row r="970" spans="1:3" x14ac:dyDescent="0.8">
      <c r="A970" s="5" t="s">
        <v>181</v>
      </c>
      <c r="B970" s="17">
        <f>B790</f>
        <v>2.344874050537445E-2</v>
      </c>
      <c r="C970" s="6" t="s">
        <v>16</v>
      </c>
    </row>
    <row r="971" spans="1:3" x14ac:dyDescent="0.8">
      <c r="A971" s="5" t="s">
        <v>92</v>
      </c>
      <c r="B971" s="17">
        <f>B799</f>
        <v>0.01</v>
      </c>
      <c r="C971" s="6" t="s">
        <v>16</v>
      </c>
    </row>
    <row r="972" spans="1:3" x14ac:dyDescent="0.8">
      <c r="A972" s="5" t="s">
        <v>204</v>
      </c>
      <c r="B972" s="17">
        <f>B820</f>
        <v>0</v>
      </c>
      <c r="C972" s="6" t="s">
        <v>16</v>
      </c>
    </row>
    <row r="973" spans="1:3" x14ac:dyDescent="0.8">
      <c r="A973" s="5" t="s">
        <v>181</v>
      </c>
      <c r="B973" s="17">
        <f>B831</f>
        <v>3.2349956256256453E-2</v>
      </c>
      <c r="C973" s="6" t="s">
        <v>16</v>
      </c>
    </row>
    <row r="974" spans="1:3" x14ac:dyDescent="0.8">
      <c r="A974" s="5" t="s">
        <v>205</v>
      </c>
      <c r="B974" s="17">
        <f>B858</f>
        <v>1.7633950361864863E-2</v>
      </c>
      <c r="C974" s="6" t="s">
        <v>16</v>
      </c>
    </row>
    <row r="975" spans="1:3" x14ac:dyDescent="0.8">
      <c r="A975" s="5" t="s">
        <v>89</v>
      </c>
      <c r="B975" s="17">
        <f>B868</f>
        <v>0.02</v>
      </c>
      <c r="C975" s="6" t="s">
        <v>16</v>
      </c>
    </row>
    <row r="976" spans="1:3" x14ac:dyDescent="0.8">
      <c r="A976" s="5" t="s">
        <v>206</v>
      </c>
      <c r="B976" s="17">
        <f>B883</f>
        <v>5.9273782728957525E-4</v>
      </c>
      <c r="C976" s="6" t="s">
        <v>16</v>
      </c>
    </row>
    <row r="977" spans="1:14" x14ac:dyDescent="0.8">
      <c r="A977" s="5" t="s">
        <v>92</v>
      </c>
      <c r="B977" s="17">
        <f>B892</f>
        <v>0.02</v>
      </c>
      <c r="C977" s="6" t="s">
        <v>16</v>
      </c>
    </row>
    <row r="978" spans="1:14" x14ac:dyDescent="0.8">
      <c r="A978" s="5" t="s">
        <v>181</v>
      </c>
      <c r="B978" s="17">
        <f>B901</f>
        <v>7.4848271558249939E-3</v>
      </c>
      <c r="C978" s="6" t="s">
        <v>16</v>
      </c>
    </row>
    <row r="979" spans="1:14" x14ac:dyDescent="0.8">
      <c r="A979" s="5" t="s">
        <v>92</v>
      </c>
      <c r="B979" s="17">
        <f>B910</f>
        <v>0.04</v>
      </c>
      <c r="C979" s="6" t="s">
        <v>16</v>
      </c>
    </row>
    <row r="980" spans="1:14" x14ac:dyDescent="0.8">
      <c r="A980" s="5" t="s">
        <v>181</v>
      </c>
      <c r="B980" s="17">
        <f>B919</f>
        <v>8.266349290769975E-3</v>
      </c>
      <c r="C980" s="6" t="s">
        <v>16</v>
      </c>
    </row>
    <row r="981" spans="1:14" x14ac:dyDescent="0.8">
      <c r="A981" s="5" t="s">
        <v>207</v>
      </c>
      <c r="B981" s="17">
        <f>B932</f>
        <v>0</v>
      </c>
      <c r="C981" s="6" t="s">
        <v>16</v>
      </c>
    </row>
    <row r="982" spans="1:14" x14ac:dyDescent="0.8">
      <c r="A982" s="5" t="s">
        <v>92</v>
      </c>
      <c r="B982" s="17">
        <f>B940</f>
        <v>0</v>
      </c>
      <c r="C982" s="6" t="s">
        <v>16</v>
      </c>
    </row>
    <row r="983" spans="1:14" x14ac:dyDescent="0.8">
      <c r="A983" s="5" t="s">
        <v>208</v>
      </c>
      <c r="B983" s="17">
        <f>B960</f>
        <v>5.6028821897347862E-2</v>
      </c>
      <c r="C983" s="6" t="s">
        <v>16</v>
      </c>
    </row>
    <row r="984" spans="1:14" x14ac:dyDescent="0.8">
      <c r="A984" s="5" t="s">
        <v>92</v>
      </c>
      <c r="B984" s="17">
        <f>B968</f>
        <v>0.02</v>
      </c>
      <c r="C984" s="6" t="s">
        <v>16</v>
      </c>
    </row>
    <row r="985" spans="1:14" x14ac:dyDescent="0.8">
      <c r="A985" s="5" t="s">
        <v>96</v>
      </c>
      <c r="B985" s="23">
        <f>SUM(B970:B984)</f>
        <v>0.25580538329472818</v>
      </c>
      <c r="C985" s="19" t="s">
        <v>16</v>
      </c>
    </row>
    <row r="986" spans="1:14" s="11" customFormat="1" x14ac:dyDescent="0.8">
      <c r="A986" s="8" t="s">
        <v>209</v>
      </c>
      <c r="B986" s="9"/>
      <c r="C986" s="10"/>
      <c r="D986" s="10"/>
      <c r="E986" s="10"/>
      <c r="F986" s="10"/>
      <c r="G986" s="10"/>
      <c r="H986" s="10"/>
      <c r="I986" s="10"/>
      <c r="J986" s="10"/>
      <c r="K986" s="10"/>
      <c r="L986" s="10"/>
      <c r="M986" s="10"/>
      <c r="N986" s="10"/>
    </row>
    <row r="987" spans="1:14" x14ac:dyDescent="0.8">
      <c r="A987" s="5" t="s">
        <v>210</v>
      </c>
      <c r="B987" s="17">
        <f>'[2]Terminal Units'!G9*'[2]Design Info, Unit conversions'!D54</f>
        <v>0.20073154605000001</v>
      </c>
      <c r="C987" s="6" t="s">
        <v>211</v>
      </c>
    </row>
    <row r="988" spans="1:14" s="11" customFormat="1" x14ac:dyDescent="0.8">
      <c r="A988" s="8" t="s">
        <v>212</v>
      </c>
      <c r="B988" s="9"/>
      <c r="C988" s="10"/>
      <c r="D988" s="10"/>
      <c r="E988" s="10"/>
      <c r="F988" s="10"/>
      <c r="G988" s="10"/>
      <c r="H988" s="10"/>
      <c r="I988" s="10"/>
      <c r="J988" s="10"/>
      <c r="K988" s="10"/>
      <c r="L988" s="10"/>
      <c r="M988" s="10"/>
      <c r="N988" s="10"/>
    </row>
    <row r="989" spans="1:14" x14ac:dyDescent="0.8">
      <c r="A989" s="5" t="s">
        <v>210</v>
      </c>
      <c r="B989" s="17">
        <v>0.1</v>
      </c>
      <c r="C989" s="6" t="s">
        <v>211</v>
      </c>
    </row>
    <row r="990" spans="1:14" s="11" customFormat="1" x14ac:dyDescent="0.8">
      <c r="A990" s="8" t="s">
        <v>213</v>
      </c>
      <c r="B990" s="9"/>
      <c r="C990" s="10"/>
      <c r="D990" s="10"/>
      <c r="E990" s="10"/>
      <c r="F990" s="10"/>
      <c r="G990" s="10"/>
      <c r="H990" s="10"/>
      <c r="I990" s="10"/>
      <c r="J990" s="10"/>
      <c r="K990" s="10"/>
      <c r="L990" s="10"/>
      <c r="M990" s="10"/>
      <c r="N990" s="10"/>
    </row>
    <row r="991" spans="1:14" s="11" customFormat="1" x14ac:dyDescent="0.8">
      <c r="A991" s="8" t="s">
        <v>214</v>
      </c>
      <c r="B991" s="9"/>
      <c r="C991" s="10"/>
      <c r="D991" s="10"/>
      <c r="E991" s="10"/>
      <c r="F991" s="10"/>
      <c r="G991" s="10"/>
      <c r="H991" s="10"/>
      <c r="I991" s="10"/>
      <c r="J991" s="10"/>
      <c r="K991" s="10"/>
      <c r="L991" s="10"/>
      <c r="M991" s="10"/>
      <c r="N991" s="10"/>
    </row>
    <row r="992" spans="1:14" x14ac:dyDescent="0.8">
      <c r="A992" s="12" t="s">
        <v>215</v>
      </c>
      <c r="B992" s="13"/>
      <c r="C992" s="6"/>
    </row>
    <row r="993" spans="1:7" x14ac:dyDescent="0.8">
      <c r="A993" s="5" t="s">
        <v>6</v>
      </c>
      <c r="B993" s="13">
        <f>650*'[2]Design Info, Unit conversions'!D56</f>
        <v>25.590551181000002</v>
      </c>
      <c r="C993" s="6" t="s">
        <v>7</v>
      </c>
    </row>
    <row r="994" spans="1:7" x14ac:dyDescent="0.8">
      <c r="A994" s="5" t="s">
        <v>8</v>
      </c>
      <c r="B994" s="13">
        <f>2000*'[2]Design Info, Unit conversions'!D56</f>
        <v>78.740157480000008</v>
      </c>
      <c r="C994" s="6" t="s">
        <v>7</v>
      </c>
    </row>
    <row r="995" spans="1:7" x14ac:dyDescent="0.8">
      <c r="A995" s="5" t="s">
        <v>9</v>
      </c>
      <c r="B995" s="13">
        <f>(B994*B993)/144</f>
        <v>13.993083541610696</v>
      </c>
      <c r="C995" s="6" t="s">
        <v>10</v>
      </c>
    </row>
    <row r="996" spans="1:7" x14ac:dyDescent="0.8">
      <c r="A996" s="5" t="s">
        <v>21</v>
      </c>
      <c r="B996" s="13">
        <f>0.5*F1021</f>
        <v>9774.4379515754863</v>
      </c>
      <c r="C996" s="6" t="s">
        <v>33</v>
      </c>
    </row>
    <row r="997" spans="1:7" x14ac:dyDescent="0.8">
      <c r="A997" s="5" t="s">
        <v>13</v>
      </c>
      <c r="B997" s="13">
        <f>B996/B995</f>
        <v>698.51923076923072</v>
      </c>
      <c r="C997" s="6" t="s">
        <v>14</v>
      </c>
    </row>
    <row r="998" spans="1:7" x14ac:dyDescent="0.8">
      <c r="A998" s="5" t="s">
        <v>15</v>
      </c>
      <c r="B998" s="27">
        <f>(B997/4005)^2</f>
        <v>3.0419473520423925E-2</v>
      </c>
      <c r="C998" s="6" t="s">
        <v>16</v>
      </c>
    </row>
    <row r="999" spans="1:7" x14ac:dyDescent="0.8">
      <c r="A999" s="5" t="s">
        <v>22</v>
      </c>
      <c r="B999" s="7">
        <f>'[2]Floor Elevations'!D9</f>
        <v>13.451443569499986</v>
      </c>
      <c r="C999" s="6" t="s">
        <v>23</v>
      </c>
    </row>
    <row r="1000" spans="1:7" x14ac:dyDescent="0.8">
      <c r="A1000" s="5" t="s">
        <v>28</v>
      </c>
      <c r="B1000" s="28">
        <v>4.0000000000000001E-3</v>
      </c>
      <c r="C1000" s="15" t="s">
        <v>216</v>
      </c>
    </row>
    <row r="1001" spans="1:7" x14ac:dyDescent="0.8">
      <c r="A1001" s="12" t="s">
        <v>217</v>
      </c>
      <c r="B1001" s="13"/>
      <c r="C1001" s="6"/>
    </row>
    <row r="1002" spans="1:7" x14ac:dyDescent="0.8">
      <c r="A1002" s="5" t="s">
        <v>139</v>
      </c>
      <c r="B1002" s="13">
        <f>B994</f>
        <v>78.740157480000008</v>
      </c>
      <c r="C1002" s="6" t="s">
        <v>7</v>
      </c>
      <c r="D1002" s="29" t="s">
        <v>218</v>
      </c>
    </row>
    <row r="1003" spans="1:7" x14ac:dyDescent="0.8">
      <c r="A1003" s="5" t="s">
        <v>140</v>
      </c>
      <c r="B1003" s="13">
        <f>B993</f>
        <v>25.590551181000002</v>
      </c>
      <c r="C1003" s="6" t="s">
        <v>7</v>
      </c>
      <c r="E1003" s="30" t="s">
        <v>219</v>
      </c>
      <c r="F1003" s="31">
        <f>42*'[2]Design Info, Unit conversions'!$D$56*1000/12</f>
        <v>137.79527558999999</v>
      </c>
      <c r="G1003" t="s">
        <v>23</v>
      </c>
    </row>
    <row r="1004" spans="1:7" x14ac:dyDescent="0.8">
      <c r="A1004" s="5" t="s">
        <v>141</v>
      </c>
      <c r="B1004" s="13">
        <f>(B1003*B1002)/144</f>
        <v>13.993083541610696</v>
      </c>
      <c r="C1004" s="6" t="s">
        <v>10</v>
      </c>
      <c r="E1004" s="30" t="s">
        <v>220</v>
      </c>
      <c r="F1004" s="31">
        <f>54*'[2]Design Info, Unit conversions'!$D$56*1000/12</f>
        <v>177.16535433000001</v>
      </c>
      <c r="G1004" t="s">
        <v>23</v>
      </c>
    </row>
    <row r="1005" spans="1:7" x14ac:dyDescent="0.8">
      <c r="A1005" s="5" t="s">
        <v>142</v>
      </c>
      <c r="B1005" s="13">
        <f>0.5*F1021</f>
        <v>9774.4379515754863</v>
      </c>
      <c r="C1005" s="6" t="s">
        <v>72</v>
      </c>
      <c r="E1005" t="s">
        <v>221</v>
      </c>
      <c r="F1005" s="31">
        <f>F1004*F1003</f>
        <v>24412.548824902351</v>
      </c>
      <c r="G1005" t="s">
        <v>10</v>
      </c>
    </row>
    <row r="1006" spans="1:7" x14ac:dyDescent="0.8">
      <c r="A1006" s="5" t="s">
        <v>143</v>
      </c>
      <c r="B1006" s="13">
        <f>B1005/B1004</f>
        <v>698.51923076923072</v>
      </c>
      <c r="C1006" s="6" t="s">
        <v>14</v>
      </c>
      <c r="E1006" s="30" t="s">
        <v>222</v>
      </c>
      <c r="F1006" s="31">
        <f>11*'[2]Design Info, Unit conversions'!$D$56*1000/12</f>
        <v>36.089238845000004</v>
      </c>
      <c r="G1006" t="s">
        <v>23</v>
      </c>
    </row>
    <row r="1007" spans="1:7" x14ac:dyDescent="0.8">
      <c r="A1007" s="5" t="s">
        <v>144</v>
      </c>
      <c r="B1007" s="7">
        <f>(B1006/4005)^2</f>
        <v>3.0419473520423925E-2</v>
      </c>
      <c r="C1007" s="6" t="s">
        <v>16</v>
      </c>
      <c r="E1007" s="30" t="s">
        <v>223</v>
      </c>
      <c r="F1007" s="31">
        <f>16*'[2]Design Info, Unit conversions'!$D$56*1000/12</f>
        <v>52.493438320000003</v>
      </c>
      <c r="G1007" t="s">
        <v>23</v>
      </c>
    </row>
    <row r="1008" spans="1:7" x14ac:dyDescent="0.8">
      <c r="A1008" s="5" t="s">
        <v>145</v>
      </c>
      <c r="B1008" s="13">
        <f>B1002</f>
        <v>78.740157480000008</v>
      </c>
      <c r="C1008" s="6" t="s">
        <v>7</v>
      </c>
      <c r="E1008" t="s">
        <v>224</v>
      </c>
      <c r="F1008" s="31">
        <f>F1007*F1006</f>
        <v>1894.4482333257558</v>
      </c>
      <c r="G1008" t="s">
        <v>10</v>
      </c>
    </row>
    <row r="1009" spans="1:7" x14ac:dyDescent="0.8">
      <c r="A1009" s="5" t="s">
        <v>146</v>
      </c>
      <c r="B1009" s="13">
        <f>B1003</f>
        <v>25.590551181000002</v>
      </c>
      <c r="C1009" s="6" t="s">
        <v>7</v>
      </c>
      <c r="E1009" s="30" t="s">
        <v>225</v>
      </c>
      <c r="F1009" s="31">
        <f>25.75*'[2]Design Info, Unit conversions'!$D$56*1000/12</f>
        <v>84.481627296250011</v>
      </c>
      <c r="G1009" t="s">
        <v>23</v>
      </c>
    </row>
    <row r="1010" spans="1:7" x14ac:dyDescent="0.8">
      <c r="A1010" s="5" t="s">
        <v>147</v>
      </c>
      <c r="B1010" s="13">
        <f>(B1009*B1008)/144</f>
        <v>13.993083541610696</v>
      </c>
      <c r="C1010" s="6" t="s">
        <v>10</v>
      </c>
      <c r="E1010" s="30" t="s">
        <v>226</v>
      </c>
      <c r="F1010" s="31">
        <f>4.5*'[2]Design Info, Unit conversions'!$D$56*1000/12</f>
        <v>14.763779527499999</v>
      </c>
      <c r="G1010" t="s">
        <v>23</v>
      </c>
    </row>
    <row r="1011" spans="1:7" x14ac:dyDescent="0.8">
      <c r="A1011" s="5" t="s">
        <v>148</v>
      </c>
      <c r="B1011" s="13">
        <f>B1005+B1017</f>
        <v>19548.875903150973</v>
      </c>
      <c r="C1011" s="6" t="s">
        <v>72</v>
      </c>
      <c r="E1011" t="s">
        <v>227</v>
      </c>
      <c r="F1011" s="31">
        <f>F1010*F1009</f>
        <v>1247.268119526261</v>
      </c>
      <c r="G1011" t="s">
        <v>10</v>
      </c>
    </row>
    <row r="1012" spans="1:7" x14ac:dyDescent="0.8">
      <c r="A1012" s="5" t="s">
        <v>149</v>
      </c>
      <c r="B1012" s="13">
        <f>B1011/B1010</f>
        <v>1397.0384615384614</v>
      </c>
      <c r="C1012" s="6" t="s">
        <v>14</v>
      </c>
      <c r="E1012" t="s">
        <v>228</v>
      </c>
      <c r="F1012" s="31">
        <f>F1005+F1008+F1011</f>
        <v>27554.265177754365</v>
      </c>
      <c r="G1012" t="s">
        <v>10</v>
      </c>
    </row>
    <row r="1013" spans="1:7" x14ac:dyDescent="0.8">
      <c r="A1013" s="5" t="s">
        <v>150</v>
      </c>
      <c r="B1013" s="7">
        <f>(B1012/4005)^2</f>
        <v>0.1216778940816957</v>
      </c>
      <c r="C1013" s="6" t="s">
        <v>16</v>
      </c>
      <c r="D1013" t="s">
        <v>229</v>
      </c>
    </row>
    <row r="1014" spans="1:7" x14ac:dyDescent="0.8">
      <c r="A1014" s="5" t="s">
        <v>151</v>
      </c>
      <c r="B1014" s="13">
        <f>B994</f>
        <v>78.740157480000008</v>
      </c>
      <c r="C1014" s="6" t="s">
        <v>7</v>
      </c>
      <c r="E1014" s="32" t="s">
        <v>230</v>
      </c>
    </row>
    <row r="1015" spans="1:7" x14ac:dyDescent="0.8">
      <c r="A1015" s="5" t="s">
        <v>152</v>
      </c>
      <c r="B1015" s="13">
        <f>B993</f>
        <v>25.590551181000002</v>
      </c>
      <c r="C1015" s="6" t="s">
        <v>7</v>
      </c>
      <c r="E1015" s="33" t="s">
        <v>231</v>
      </c>
    </row>
    <row r="1016" spans="1:7" x14ac:dyDescent="0.8">
      <c r="A1016" s="5" t="s">
        <v>153</v>
      </c>
      <c r="B1016" s="13">
        <f>(B1015*B1014)/144</f>
        <v>13.993083541610696</v>
      </c>
      <c r="C1016" s="6" t="s">
        <v>10</v>
      </c>
      <c r="E1016" s="34" t="s">
        <v>232</v>
      </c>
      <c r="F1016" s="31">
        <f>F1012</f>
        <v>27554.265177754365</v>
      </c>
      <c r="G1016" t="s">
        <v>33</v>
      </c>
    </row>
    <row r="1017" spans="1:7" x14ac:dyDescent="0.8">
      <c r="A1017" s="5" t="s">
        <v>154</v>
      </c>
      <c r="B1017" s="13">
        <f>B996</f>
        <v>9774.4379515754863</v>
      </c>
      <c r="C1017" s="6" t="s">
        <v>72</v>
      </c>
      <c r="E1017" s="34" t="s">
        <v>233</v>
      </c>
      <c r="F1017" s="35">
        <f>0.2</f>
        <v>0.2</v>
      </c>
      <c r="G1017" t="s">
        <v>234</v>
      </c>
    </row>
    <row r="1018" spans="1:7" x14ac:dyDescent="0.8">
      <c r="A1018" s="5" t="s">
        <v>155</v>
      </c>
      <c r="B1018" s="13">
        <f>B1017/B1016</f>
        <v>698.51923076923072</v>
      </c>
      <c r="C1018" s="6" t="s">
        <v>14</v>
      </c>
      <c r="E1018" s="34" t="s">
        <v>235</v>
      </c>
      <c r="F1018" s="31">
        <f>(1-F1017)*F1016</f>
        <v>22043.412142203495</v>
      </c>
      <c r="G1018" t="s">
        <v>33</v>
      </c>
    </row>
    <row r="1019" spans="1:7" x14ac:dyDescent="0.8">
      <c r="A1019" s="5" t="s">
        <v>156</v>
      </c>
      <c r="B1019" s="7">
        <f>(B1018/4005)^2</f>
        <v>3.0419473520423925E-2</v>
      </c>
      <c r="C1019" s="6" t="s">
        <v>16</v>
      </c>
      <c r="E1019" s="34" t="s">
        <v>236</v>
      </c>
      <c r="F1019" s="31">
        <f>2*F1011</f>
        <v>2494.536239052522</v>
      </c>
      <c r="G1019" t="s">
        <v>237</v>
      </c>
    </row>
    <row r="1020" spans="1:7" x14ac:dyDescent="0.8">
      <c r="A1020" s="5" t="s">
        <v>157</v>
      </c>
      <c r="B1020" s="7">
        <v>2.23</v>
      </c>
      <c r="C1020" s="6" t="s">
        <v>238</v>
      </c>
      <c r="E1020" s="34" t="s">
        <v>239</v>
      </c>
      <c r="F1020" s="31">
        <f>F1019</f>
        <v>2494.536239052522</v>
      </c>
      <c r="G1020" t="s">
        <v>33</v>
      </c>
    </row>
    <row r="1021" spans="1:7" x14ac:dyDescent="0.8">
      <c r="A1021" s="5" t="s">
        <v>159</v>
      </c>
      <c r="B1021" s="28">
        <f>B1020*B1007</f>
        <v>6.7835425950545356E-2</v>
      </c>
      <c r="C1021" s="15" t="s">
        <v>120</v>
      </c>
      <c r="E1021" s="34" t="s">
        <v>240</v>
      </c>
      <c r="F1021" s="31">
        <f>F1018-F1020</f>
        <v>19548.875903150973</v>
      </c>
      <c r="G1021" t="s">
        <v>241</v>
      </c>
    </row>
    <row r="1022" spans="1:7" x14ac:dyDescent="0.8">
      <c r="A1022" s="5" t="s">
        <v>160</v>
      </c>
      <c r="B1022" s="7">
        <v>0.66</v>
      </c>
      <c r="C1022" s="6" t="s">
        <v>238</v>
      </c>
    </row>
    <row r="1023" spans="1:7" x14ac:dyDescent="0.8">
      <c r="A1023" s="5" t="s">
        <v>161</v>
      </c>
      <c r="B1023" s="28">
        <f>B1022*B1019</f>
        <v>2.007685252347979E-2</v>
      </c>
      <c r="C1023" s="15" t="s">
        <v>120</v>
      </c>
    </row>
    <row r="1024" spans="1:7" x14ac:dyDescent="0.8">
      <c r="A1024" s="22" t="s">
        <v>191</v>
      </c>
      <c r="B1024" s="13"/>
      <c r="C1024" s="6"/>
    </row>
    <row r="1025" spans="1:3" x14ac:dyDescent="0.8">
      <c r="A1025" s="5" t="s">
        <v>6</v>
      </c>
      <c r="B1025" s="13">
        <f>B1009</f>
        <v>25.590551181000002</v>
      </c>
      <c r="C1025" s="6" t="s">
        <v>7</v>
      </c>
    </row>
    <row r="1026" spans="1:3" x14ac:dyDescent="0.8">
      <c r="A1026" s="5" t="s">
        <v>103</v>
      </c>
      <c r="B1026" s="13">
        <f>B1002</f>
        <v>78.740157480000008</v>
      </c>
      <c r="C1026" s="6" t="s">
        <v>7</v>
      </c>
    </row>
    <row r="1027" spans="1:3" x14ac:dyDescent="0.8">
      <c r="A1027" s="5" t="s">
        <v>104</v>
      </c>
      <c r="B1027" s="13">
        <f>(B1026*B1025)/144</f>
        <v>13.993083541610696</v>
      </c>
      <c r="C1027" s="6" t="s">
        <v>10</v>
      </c>
    </row>
    <row r="1028" spans="1:3" x14ac:dyDescent="0.8">
      <c r="A1028" s="5" t="s">
        <v>118</v>
      </c>
      <c r="B1028" s="13">
        <f>1100*'[2]Design Info, Unit conversions'!D56</f>
        <v>43.307086613999999</v>
      </c>
      <c r="C1028" s="6" t="s">
        <v>7</v>
      </c>
    </row>
    <row r="1029" spans="1:3" x14ac:dyDescent="0.8">
      <c r="A1029" s="5" t="s">
        <v>105</v>
      </c>
      <c r="B1029" s="13">
        <f>B1026</f>
        <v>78.740157480000008</v>
      </c>
      <c r="C1029" s="6" t="s">
        <v>7</v>
      </c>
    </row>
    <row r="1030" spans="1:3" x14ac:dyDescent="0.8">
      <c r="A1030" s="5" t="s">
        <v>106</v>
      </c>
      <c r="B1030" s="13">
        <f>(B1029*B1028)/144</f>
        <v>23.680602916571946</v>
      </c>
      <c r="C1030" s="6" t="s">
        <v>10</v>
      </c>
    </row>
    <row r="1031" spans="1:3" x14ac:dyDescent="0.8">
      <c r="A1031" s="5" t="s">
        <v>168</v>
      </c>
      <c r="B1031" s="13">
        <v>24</v>
      </c>
      <c r="C1031" s="6" t="s">
        <v>7</v>
      </c>
    </row>
    <row r="1032" spans="1:3" x14ac:dyDescent="0.8">
      <c r="A1032" s="5" t="s">
        <v>11</v>
      </c>
      <c r="B1032" s="13">
        <f>B1011</f>
        <v>19548.875903150973</v>
      </c>
      <c r="C1032" s="6" t="s">
        <v>72</v>
      </c>
    </row>
    <row r="1033" spans="1:3" x14ac:dyDescent="0.8">
      <c r="A1033" s="5" t="s">
        <v>107</v>
      </c>
      <c r="B1033" s="13">
        <f>B1032/B1027</f>
        <v>1397.0384615384614</v>
      </c>
      <c r="C1033" s="6" t="s">
        <v>14</v>
      </c>
    </row>
    <row r="1034" spans="1:3" x14ac:dyDescent="0.8">
      <c r="A1034" s="5" t="s">
        <v>108</v>
      </c>
      <c r="B1034" s="27">
        <f>(B1033/4005)^2</f>
        <v>0.1216778940816957</v>
      </c>
      <c r="C1034" s="6" t="s">
        <v>16</v>
      </c>
    </row>
    <row r="1035" spans="1:3" x14ac:dyDescent="0.8">
      <c r="A1035" s="5" t="s">
        <v>109</v>
      </c>
      <c r="B1035" s="13">
        <f>B1032/B1030</f>
        <v>825.52272727272725</v>
      </c>
      <c r="C1035" s="6" t="s">
        <v>14</v>
      </c>
    </row>
    <row r="1036" spans="1:3" x14ac:dyDescent="0.8">
      <c r="A1036" s="5" t="s">
        <v>111</v>
      </c>
      <c r="B1036" s="27">
        <f>(B1035/4005)^2</f>
        <v>4.2486702685550777E-2</v>
      </c>
      <c r="C1036" s="6" t="s">
        <v>16</v>
      </c>
    </row>
    <row r="1037" spans="1:3" x14ac:dyDescent="0.8">
      <c r="A1037" s="5" t="s">
        <v>157</v>
      </c>
      <c r="B1037" s="7">
        <v>0.24</v>
      </c>
      <c r="C1037" s="6" t="s">
        <v>192</v>
      </c>
    </row>
    <row r="1038" spans="1:3" x14ac:dyDescent="0.8">
      <c r="A1038" s="5" t="s">
        <v>159</v>
      </c>
      <c r="B1038" s="28">
        <f>B1037*B1034</f>
        <v>2.9202694579606968E-2</v>
      </c>
      <c r="C1038" s="15" t="s">
        <v>120</v>
      </c>
    </row>
    <row r="1039" spans="1:3" x14ac:dyDescent="0.8">
      <c r="A1039" s="22" t="s">
        <v>242</v>
      </c>
      <c r="B1039" s="13"/>
      <c r="C1039" s="6"/>
    </row>
    <row r="1040" spans="1:3" x14ac:dyDescent="0.8">
      <c r="A1040" s="5" t="s">
        <v>6</v>
      </c>
      <c r="B1040" s="13">
        <f>B1025</f>
        <v>25.590551181000002</v>
      </c>
      <c r="C1040" s="6" t="s">
        <v>7</v>
      </c>
    </row>
    <row r="1041" spans="1:3" x14ac:dyDescent="0.8">
      <c r="A1041" s="5" t="s">
        <v>8</v>
      </c>
      <c r="B1041" s="13">
        <f>B1026</f>
        <v>78.740157480000008</v>
      </c>
      <c r="C1041" s="6" t="s">
        <v>7</v>
      </c>
    </row>
    <row r="1042" spans="1:3" x14ac:dyDescent="0.8">
      <c r="A1042" s="5" t="s">
        <v>9</v>
      </c>
      <c r="B1042" s="13">
        <f>(B1041*B1040)/144</f>
        <v>13.993083541610696</v>
      </c>
      <c r="C1042" s="6" t="s">
        <v>10</v>
      </c>
    </row>
    <row r="1043" spans="1:3" x14ac:dyDescent="0.8">
      <c r="A1043" s="5" t="s">
        <v>11</v>
      </c>
      <c r="B1043" s="13">
        <f>B1032</f>
        <v>19548.875903150973</v>
      </c>
      <c r="C1043" s="6" t="s">
        <v>72</v>
      </c>
    </row>
    <row r="1044" spans="1:3" x14ac:dyDescent="0.8">
      <c r="A1044" s="5" t="s">
        <v>13</v>
      </c>
      <c r="B1044" s="13">
        <f>B1043/B1042</f>
        <v>1397.0384615384614</v>
      </c>
      <c r="C1044" s="6" t="s">
        <v>14</v>
      </c>
    </row>
    <row r="1045" spans="1:3" x14ac:dyDescent="0.8">
      <c r="A1045" s="5" t="s">
        <v>15</v>
      </c>
      <c r="B1045" s="7">
        <f>(B1044/4005)^2</f>
        <v>0.1216778940816957</v>
      </c>
      <c r="C1045" s="6" t="s">
        <v>16</v>
      </c>
    </row>
    <row r="1046" spans="1:3" x14ac:dyDescent="0.8">
      <c r="A1046" s="5" t="s">
        <v>74</v>
      </c>
      <c r="B1046" s="7">
        <v>0.08</v>
      </c>
      <c r="C1046" s="6" t="s">
        <v>79</v>
      </c>
    </row>
    <row r="1047" spans="1:3" x14ac:dyDescent="0.8">
      <c r="A1047" s="5" t="s">
        <v>76</v>
      </c>
      <c r="B1047" s="28">
        <f>B1046*B1045</f>
        <v>9.7342315265356565E-3</v>
      </c>
      <c r="C1047" s="15" t="s">
        <v>77</v>
      </c>
    </row>
    <row r="1048" spans="1:3" x14ac:dyDescent="0.8">
      <c r="A1048" s="12" t="s">
        <v>243</v>
      </c>
      <c r="B1048" s="13"/>
      <c r="C1048" s="6"/>
    </row>
    <row r="1049" spans="1:3" x14ac:dyDescent="0.8">
      <c r="A1049" s="5" t="s">
        <v>6</v>
      </c>
      <c r="B1049" s="13">
        <f>B1040</f>
        <v>25.590551181000002</v>
      </c>
      <c r="C1049" s="6" t="s">
        <v>7</v>
      </c>
    </row>
    <row r="1050" spans="1:3" x14ac:dyDescent="0.8">
      <c r="A1050" s="5" t="s">
        <v>8</v>
      </c>
      <c r="B1050" s="13">
        <f>B1041</f>
        <v>78.740157480000008</v>
      </c>
      <c r="C1050" s="6" t="s">
        <v>7</v>
      </c>
    </row>
    <row r="1051" spans="1:3" x14ac:dyDescent="0.8">
      <c r="A1051" s="5" t="s">
        <v>9</v>
      </c>
      <c r="B1051" s="13">
        <f>(B1050*B1049)/144</f>
        <v>13.993083541610696</v>
      </c>
      <c r="C1051" s="6" t="s">
        <v>10</v>
      </c>
    </row>
    <row r="1052" spans="1:3" x14ac:dyDescent="0.8">
      <c r="A1052" s="5" t="s">
        <v>21</v>
      </c>
      <c r="B1052" s="13">
        <f>B1043</f>
        <v>19548.875903150973</v>
      </c>
      <c r="C1052" s="6" t="s">
        <v>244</v>
      </c>
    </row>
    <row r="1053" spans="1:3" x14ac:dyDescent="0.8">
      <c r="A1053" s="5" t="s">
        <v>13</v>
      </c>
      <c r="B1053" s="13">
        <f>B1052/B1051</f>
        <v>1397.0384615384614</v>
      </c>
      <c r="C1053" s="6" t="s">
        <v>14</v>
      </c>
    </row>
    <row r="1054" spans="1:3" x14ac:dyDescent="0.8">
      <c r="A1054" s="5" t="s">
        <v>15</v>
      </c>
      <c r="B1054" s="27">
        <f>(B1053/4005)^2</f>
        <v>0.1216778940816957</v>
      </c>
      <c r="C1054" s="6" t="s">
        <v>16</v>
      </c>
    </row>
    <row r="1055" spans="1:3" x14ac:dyDescent="0.8">
      <c r="A1055" s="5" t="s">
        <v>22</v>
      </c>
      <c r="B1055" s="7">
        <f>3*1000*'[2]Design Info, Unit conversions'!D56/12</f>
        <v>9.842519685000001</v>
      </c>
      <c r="C1055" s="6" t="s">
        <v>23</v>
      </c>
    </row>
    <row r="1056" spans="1:3" x14ac:dyDescent="0.8">
      <c r="A1056" s="5" t="s">
        <v>28</v>
      </c>
      <c r="B1056" s="28">
        <v>0.01</v>
      </c>
      <c r="C1056" s="15" t="s">
        <v>216</v>
      </c>
    </row>
    <row r="1057" spans="1:3" x14ac:dyDescent="0.8">
      <c r="A1057" s="22" t="s">
        <v>242</v>
      </c>
      <c r="B1057" s="13"/>
      <c r="C1057" s="6"/>
    </row>
    <row r="1058" spans="1:3" x14ac:dyDescent="0.8">
      <c r="A1058" s="5" t="s">
        <v>6</v>
      </c>
      <c r="B1058" s="13">
        <f>B1049</f>
        <v>25.590551181000002</v>
      </c>
      <c r="C1058" s="6" t="s">
        <v>7</v>
      </c>
    </row>
    <row r="1059" spans="1:3" x14ac:dyDescent="0.8">
      <c r="A1059" s="5" t="s">
        <v>8</v>
      </c>
      <c r="B1059" s="13">
        <f>B1050</f>
        <v>78.740157480000008</v>
      </c>
      <c r="C1059" s="6" t="s">
        <v>7</v>
      </c>
    </row>
    <row r="1060" spans="1:3" x14ac:dyDescent="0.8">
      <c r="A1060" s="5" t="s">
        <v>9</v>
      </c>
      <c r="B1060" s="13">
        <f>(B1059*B1058)/144</f>
        <v>13.993083541610696</v>
      </c>
      <c r="C1060" s="6" t="s">
        <v>10</v>
      </c>
    </row>
    <row r="1061" spans="1:3" x14ac:dyDescent="0.8">
      <c r="A1061" s="5" t="s">
        <v>11</v>
      </c>
      <c r="B1061" s="13">
        <f>B1052</f>
        <v>19548.875903150973</v>
      </c>
      <c r="C1061" s="6" t="s">
        <v>72</v>
      </c>
    </row>
    <row r="1062" spans="1:3" x14ac:dyDescent="0.8">
      <c r="A1062" s="5" t="s">
        <v>13</v>
      </c>
      <c r="B1062" s="13">
        <f>B1061/B1060</f>
        <v>1397.0384615384614</v>
      </c>
      <c r="C1062" s="6" t="s">
        <v>14</v>
      </c>
    </row>
    <row r="1063" spans="1:3" x14ac:dyDescent="0.8">
      <c r="A1063" s="5" t="s">
        <v>15</v>
      </c>
      <c r="B1063" s="7">
        <f>(B1062/4005)^2</f>
        <v>0.1216778940816957</v>
      </c>
      <c r="C1063" s="6" t="s">
        <v>16</v>
      </c>
    </row>
    <row r="1064" spans="1:3" x14ac:dyDescent="0.8">
      <c r="A1064" s="5" t="s">
        <v>74</v>
      </c>
      <c r="B1064" s="7">
        <v>0.08</v>
      </c>
      <c r="C1064" s="6" t="s">
        <v>79</v>
      </c>
    </row>
    <row r="1065" spans="1:3" x14ac:dyDescent="0.8">
      <c r="A1065" s="5" t="s">
        <v>76</v>
      </c>
      <c r="B1065" s="36">
        <f>B1064*B1063</f>
        <v>9.7342315265356565E-3</v>
      </c>
      <c r="C1065" s="6" t="s">
        <v>77</v>
      </c>
    </row>
    <row r="1066" spans="1:3" x14ac:dyDescent="0.8">
      <c r="A1066" s="12" t="s">
        <v>245</v>
      </c>
      <c r="B1066" s="13"/>
      <c r="C1066" s="6"/>
    </row>
    <row r="1067" spans="1:3" x14ac:dyDescent="0.8">
      <c r="A1067" s="5" t="s">
        <v>81</v>
      </c>
      <c r="B1067" s="13">
        <f>B1055</f>
        <v>9.842519685000001</v>
      </c>
      <c r="C1067" s="6" t="s">
        <v>23</v>
      </c>
    </row>
    <row r="1068" spans="1:3" x14ac:dyDescent="0.8">
      <c r="A1068" s="5" t="s">
        <v>82</v>
      </c>
      <c r="B1068" s="7">
        <v>1</v>
      </c>
      <c r="C1068" s="6" t="s">
        <v>83</v>
      </c>
    </row>
    <row r="1069" spans="1:3" x14ac:dyDescent="0.8">
      <c r="A1069" s="5" t="s">
        <v>189</v>
      </c>
      <c r="B1069" s="28">
        <f>B1068*B1065</f>
        <v>9.7342315265356565E-3</v>
      </c>
      <c r="C1069" s="15" t="s">
        <v>77</v>
      </c>
    </row>
    <row r="1070" spans="1:3" x14ac:dyDescent="0.8">
      <c r="A1070" s="22" t="s">
        <v>246</v>
      </c>
      <c r="B1070" s="13"/>
      <c r="C1070" s="6"/>
    </row>
    <row r="1071" spans="1:3" x14ac:dyDescent="0.8">
      <c r="A1071" s="5" t="s">
        <v>6</v>
      </c>
      <c r="B1071" s="13">
        <f>B1058</f>
        <v>25.590551181000002</v>
      </c>
      <c r="C1071" s="6" t="s">
        <v>7</v>
      </c>
    </row>
    <row r="1072" spans="1:3" x14ac:dyDescent="0.8">
      <c r="A1072" s="5" t="s">
        <v>8</v>
      </c>
      <c r="B1072" s="13">
        <f>B1059</f>
        <v>78.740157480000008</v>
      </c>
      <c r="C1072" s="6" t="s">
        <v>7</v>
      </c>
    </row>
    <row r="1073" spans="1:3" x14ac:dyDescent="0.8">
      <c r="A1073" s="5" t="s">
        <v>9</v>
      </c>
      <c r="B1073" s="13">
        <f>(B1072*B1071)/144</f>
        <v>13.993083541610696</v>
      </c>
      <c r="C1073" s="6" t="s">
        <v>10</v>
      </c>
    </row>
    <row r="1074" spans="1:3" x14ac:dyDescent="0.8">
      <c r="A1074" s="5" t="s">
        <v>21</v>
      </c>
      <c r="B1074" s="13">
        <f>B1061</f>
        <v>19548.875903150973</v>
      </c>
      <c r="C1074" s="6" t="s">
        <v>244</v>
      </c>
    </row>
    <row r="1075" spans="1:3" x14ac:dyDescent="0.8">
      <c r="A1075" s="5" t="s">
        <v>13</v>
      </c>
      <c r="B1075" s="13">
        <f>B1074/B1073</f>
        <v>1397.0384615384614</v>
      </c>
      <c r="C1075" s="6" t="s">
        <v>14</v>
      </c>
    </row>
    <row r="1076" spans="1:3" x14ac:dyDescent="0.8">
      <c r="A1076" s="5" t="s">
        <v>15</v>
      </c>
      <c r="B1076" s="27">
        <f>(B1075/4005)^2</f>
        <v>0.1216778940816957</v>
      </c>
      <c r="C1076" s="6" t="s">
        <v>16</v>
      </c>
    </row>
    <row r="1077" spans="1:3" x14ac:dyDescent="0.8">
      <c r="A1077" s="5" t="s">
        <v>22</v>
      </c>
      <c r="B1077" s="7">
        <f>3.6*1000*'[2]Design Info, Unit conversions'!D56/12</f>
        <v>11.811023622</v>
      </c>
      <c r="C1077" s="6" t="s">
        <v>23</v>
      </c>
    </row>
    <row r="1078" spans="1:3" x14ac:dyDescent="0.8">
      <c r="A1078" s="5" t="s">
        <v>28</v>
      </c>
      <c r="B1078" s="28">
        <v>0.01</v>
      </c>
      <c r="C1078" s="15" t="s">
        <v>216</v>
      </c>
    </row>
    <row r="1079" spans="1:3" x14ac:dyDescent="0.8">
      <c r="A1079" s="22" t="s">
        <v>191</v>
      </c>
      <c r="B1079" s="13"/>
      <c r="C1079" s="6"/>
    </row>
    <row r="1080" spans="1:3" x14ac:dyDescent="0.8">
      <c r="A1080" s="5" t="s">
        <v>6</v>
      </c>
      <c r="B1080" s="13">
        <f>B1071</f>
        <v>25.590551181000002</v>
      </c>
      <c r="C1080" s="6" t="s">
        <v>7</v>
      </c>
    </row>
    <row r="1081" spans="1:3" x14ac:dyDescent="0.8">
      <c r="A1081" s="5" t="s">
        <v>103</v>
      </c>
      <c r="B1081" s="13">
        <f>B1072</f>
        <v>78.740157480000008</v>
      </c>
      <c r="C1081" s="6" t="s">
        <v>7</v>
      </c>
    </row>
    <row r="1082" spans="1:3" x14ac:dyDescent="0.8">
      <c r="A1082" s="5" t="s">
        <v>104</v>
      </c>
      <c r="B1082" s="13">
        <f>(B1081*B1080)/144</f>
        <v>13.993083541610696</v>
      </c>
      <c r="C1082" s="6" t="s">
        <v>10</v>
      </c>
    </row>
    <row r="1083" spans="1:3" x14ac:dyDescent="0.8">
      <c r="A1083" s="5" t="s">
        <v>118</v>
      </c>
      <c r="B1083" s="13">
        <f>1750*'[2]Design Info, Unit conversions'!D56</f>
        <v>68.897637795000009</v>
      </c>
      <c r="C1083" s="6" t="s">
        <v>7</v>
      </c>
    </row>
    <row r="1084" spans="1:3" x14ac:dyDescent="0.8">
      <c r="A1084" s="5" t="s">
        <v>105</v>
      </c>
      <c r="B1084" s="13">
        <f>2000*'[2]Design Info, Unit conversions'!D56</f>
        <v>78.740157480000008</v>
      </c>
      <c r="C1084" s="6" t="s">
        <v>7</v>
      </c>
    </row>
    <row r="1085" spans="1:3" x14ac:dyDescent="0.8">
      <c r="A1085" s="5" t="s">
        <v>106</v>
      </c>
      <c r="B1085" s="13">
        <f>(B1084*B1083)/144</f>
        <v>37.673686458182644</v>
      </c>
      <c r="C1085" s="6" t="s">
        <v>10</v>
      </c>
    </row>
    <row r="1086" spans="1:3" x14ac:dyDescent="0.8">
      <c r="A1086" s="5" t="s">
        <v>168</v>
      </c>
      <c r="B1086" s="13">
        <v>18</v>
      </c>
      <c r="C1086" s="6" t="s">
        <v>7</v>
      </c>
    </row>
    <row r="1087" spans="1:3" x14ac:dyDescent="0.8">
      <c r="A1087" s="5" t="s">
        <v>11</v>
      </c>
      <c r="B1087" s="13">
        <f>B1074</f>
        <v>19548.875903150973</v>
      </c>
      <c r="C1087" s="6" t="s">
        <v>72</v>
      </c>
    </row>
    <row r="1088" spans="1:3" x14ac:dyDescent="0.8">
      <c r="A1088" s="5" t="s">
        <v>107</v>
      </c>
      <c r="B1088" s="13">
        <f>B1087/B1082</f>
        <v>1397.0384615384614</v>
      </c>
      <c r="C1088" s="6" t="s">
        <v>14</v>
      </c>
    </row>
    <row r="1089" spans="1:3" x14ac:dyDescent="0.8">
      <c r="A1089" s="5" t="s">
        <v>108</v>
      </c>
      <c r="B1089" s="7">
        <f>(B1088/4005)^2</f>
        <v>0.1216778940816957</v>
      </c>
      <c r="C1089" s="6" t="s">
        <v>16</v>
      </c>
    </row>
    <row r="1090" spans="1:3" x14ac:dyDescent="0.8">
      <c r="A1090" s="5" t="s">
        <v>109</v>
      </c>
      <c r="B1090" s="13">
        <f>B1087/B1085</f>
        <v>518.9</v>
      </c>
      <c r="C1090" s="6" t="s">
        <v>14</v>
      </c>
    </row>
    <row r="1091" spans="1:3" x14ac:dyDescent="0.8">
      <c r="A1091" s="5" t="s">
        <v>111</v>
      </c>
      <c r="B1091" s="27">
        <f>(B1090/4005)^2</f>
        <v>1.6786582938617612E-2</v>
      </c>
      <c r="C1091" s="6" t="s">
        <v>16</v>
      </c>
    </row>
    <row r="1092" spans="1:3" x14ac:dyDescent="0.8">
      <c r="A1092" s="5" t="s">
        <v>74</v>
      </c>
      <c r="B1092" s="7">
        <v>0.48</v>
      </c>
      <c r="C1092" s="6" t="s">
        <v>169</v>
      </c>
    </row>
    <row r="1093" spans="1:3" x14ac:dyDescent="0.8">
      <c r="A1093" s="5" t="s">
        <v>76</v>
      </c>
      <c r="B1093" s="28">
        <f>B1092*B1089</f>
        <v>5.8405389159213936E-2</v>
      </c>
      <c r="C1093" s="15" t="s">
        <v>77</v>
      </c>
    </row>
    <row r="1094" spans="1:3" x14ac:dyDescent="0.8">
      <c r="A1094" s="22" t="s">
        <v>125</v>
      </c>
      <c r="B1094" s="13"/>
      <c r="C1094" s="6"/>
    </row>
    <row r="1095" spans="1:3" x14ac:dyDescent="0.8">
      <c r="A1095" s="5" t="s">
        <v>6</v>
      </c>
      <c r="B1095" s="13">
        <f>B1083</f>
        <v>68.897637795000009</v>
      </c>
      <c r="C1095" s="6" t="s">
        <v>7</v>
      </c>
    </row>
    <row r="1096" spans="1:3" x14ac:dyDescent="0.8">
      <c r="A1096" s="5" t="s">
        <v>8</v>
      </c>
      <c r="B1096" s="13">
        <f>B1084</f>
        <v>78.740157480000008</v>
      </c>
      <c r="C1096" s="6" t="s">
        <v>7</v>
      </c>
    </row>
    <row r="1097" spans="1:3" x14ac:dyDescent="0.8">
      <c r="A1097" s="5" t="s">
        <v>9</v>
      </c>
      <c r="B1097" s="13">
        <f>(B1096*B1095)/144</f>
        <v>37.673686458182644</v>
      </c>
      <c r="C1097" s="6" t="s">
        <v>10</v>
      </c>
    </row>
    <row r="1098" spans="1:3" x14ac:dyDescent="0.8">
      <c r="A1098" s="5" t="s">
        <v>11</v>
      </c>
      <c r="B1098" s="13">
        <f>B1087</f>
        <v>19548.875903150973</v>
      </c>
      <c r="C1098" s="6" t="s">
        <v>72</v>
      </c>
    </row>
    <row r="1099" spans="1:3" x14ac:dyDescent="0.8">
      <c r="A1099" s="5" t="s">
        <v>13</v>
      </c>
      <c r="B1099" s="13">
        <f>B1098/B1097</f>
        <v>518.9</v>
      </c>
      <c r="C1099" s="6" t="s">
        <v>14</v>
      </c>
    </row>
    <row r="1100" spans="1:3" x14ac:dyDescent="0.8">
      <c r="A1100" s="5" t="s">
        <v>15</v>
      </c>
      <c r="B1100" s="27">
        <f>(B1099/4005)^2</f>
        <v>1.6786582938617612E-2</v>
      </c>
      <c r="C1100" s="6" t="s">
        <v>16</v>
      </c>
    </row>
    <row r="1101" spans="1:3" x14ac:dyDescent="0.8">
      <c r="A1101" s="5" t="s">
        <v>74</v>
      </c>
      <c r="B1101" s="7">
        <v>0.18</v>
      </c>
      <c r="C1101" s="6" t="s">
        <v>126</v>
      </c>
    </row>
    <row r="1102" spans="1:3" x14ac:dyDescent="0.8">
      <c r="A1102" s="5" t="s">
        <v>76</v>
      </c>
      <c r="B1102" s="37">
        <f>B1101*B1100</f>
        <v>3.0215849289511702E-3</v>
      </c>
      <c r="C1102" s="15" t="s">
        <v>120</v>
      </c>
    </row>
    <row r="1103" spans="1:3" x14ac:dyDescent="0.8">
      <c r="A1103" s="12" t="s">
        <v>247</v>
      </c>
      <c r="B1103" s="13"/>
      <c r="C1103" s="6"/>
    </row>
    <row r="1104" spans="1:3" x14ac:dyDescent="0.8">
      <c r="A1104" s="5" t="s">
        <v>81</v>
      </c>
      <c r="B1104" s="13">
        <v>2</v>
      </c>
      <c r="C1104" s="6" t="s">
        <v>23</v>
      </c>
    </row>
    <row r="1105" spans="1:14" x14ac:dyDescent="0.8">
      <c r="A1105" s="5" t="s">
        <v>82</v>
      </c>
      <c r="B1105" s="7">
        <v>1.75</v>
      </c>
      <c r="C1105" s="6" t="s">
        <v>83</v>
      </c>
    </row>
    <row r="1106" spans="1:14" x14ac:dyDescent="0.8">
      <c r="A1106" s="5" t="s">
        <v>189</v>
      </c>
      <c r="B1106" s="28">
        <f>B1105*B1102</f>
        <v>5.2877736256645479E-3</v>
      </c>
      <c r="C1106" s="15" t="s">
        <v>77</v>
      </c>
    </row>
    <row r="1107" spans="1:14" x14ac:dyDescent="0.8">
      <c r="A1107" s="22" t="s">
        <v>29</v>
      </c>
    </row>
    <row r="1108" spans="1:14" x14ac:dyDescent="0.8">
      <c r="A1108" s="5" t="s">
        <v>248</v>
      </c>
      <c r="B1108" s="38">
        <f>B1000</f>
        <v>4.0000000000000001E-3</v>
      </c>
      <c r="C1108" s="6" t="s">
        <v>16</v>
      </c>
    </row>
    <row r="1109" spans="1:14" x14ac:dyDescent="0.8">
      <c r="A1109" s="5" t="s">
        <v>249</v>
      </c>
      <c r="B1109" s="38">
        <f>B1023</f>
        <v>2.007685252347979E-2</v>
      </c>
      <c r="C1109" s="6" t="s">
        <v>16</v>
      </c>
    </row>
    <row r="1110" spans="1:14" x14ac:dyDescent="0.8">
      <c r="A1110" s="5" t="s">
        <v>174</v>
      </c>
      <c r="B1110" s="38">
        <f>B1038</f>
        <v>2.9202694579606968E-2</v>
      </c>
      <c r="C1110" s="6" t="s">
        <v>16</v>
      </c>
    </row>
    <row r="1111" spans="1:14" x14ac:dyDescent="0.8">
      <c r="A1111" s="5" t="s">
        <v>250</v>
      </c>
      <c r="B1111" s="38">
        <f>B1065</f>
        <v>9.7342315265356565E-3</v>
      </c>
      <c r="C1111" s="6" t="s">
        <v>16</v>
      </c>
    </row>
    <row r="1112" spans="1:14" x14ac:dyDescent="0.8">
      <c r="A1112" s="5" t="s">
        <v>92</v>
      </c>
      <c r="B1112" s="38">
        <f>B1056</f>
        <v>0.01</v>
      </c>
      <c r="C1112" s="6" t="s">
        <v>16</v>
      </c>
    </row>
    <row r="1113" spans="1:14" x14ac:dyDescent="0.8">
      <c r="A1113" s="5" t="s">
        <v>250</v>
      </c>
      <c r="B1113" s="38">
        <f>B1069</f>
        <v>9.7342315265356565E-3</v>
      </c>
      <c r="C1113" s="6" t="s">
        <v>16</v>
      </c>
    </row>
    <row r="1114" spans="1:14" x14ac:dyDescent="0.8">
      <c r="A1114" s="5" t="s">
        <v>92</v>
      </c>
      <c r="B1114" s="38">
        <f>B1078</f>
        <v>0.01</v>
      </c>
      <c r="C1114" s="6" t="s">
        <v>16</v>
      </c>
    </row>
    <row r="1115" spans="1:14" x14ac:dyDescent="0.8">
      <c r="A1115" s="5" t="s">
        <v>174</v>
      </c>
      <c r="B1115" s="38">
        <f>B1093</f>
        <v>5.8405389159213936E-2</v>
      </c>
      <c r="C1115" s="6" t="s">
        <v>16</v>
      </c>
    </row>
    <row r="1116" spans="1:14" x14ac:dyDescent="0.8">
      <c r="A1116" s="5" t="s">
        <v>127</v>
      </c>
      <c r="B1116" s="38">
        <f>B1106</f>
        <v>5.2877736256645479E-3</v>
      </c>
      <c r="C1116" s="6" t="s">
        <v>16</v>
      </c>
    </row>
    <row r="1117" spans="1:14" x14ac:dyDescent="0.8">
      <c r="A1117" s="5" t="s">
        <v>96</v>
      </c>
      <c r="B1117" s="39">
        <f>SUM(B1108:B1116)</f>
        <v>0.15644117294103654</v>
      </c>
      <c r="C1117" s="19" t="s">
        <v>16</v>
      </c>
    </row>
    <row r="1118" spans="1:14" s="11" customFormat="1" x14ac:dyDescent="0.8">
      <c r="A1118" s="8" t="s">
        <v>251</v>
      </c>
      <c r="B1118" s="9"/>
      <c r="C1118" s="10"/>
      <c r="D1118" s="10"/>
      <c r="E1118" s="10"/>
      <c r="F1118" s="10"/>
      <c r="G1118" s="10"/>
      <c r="H1118" s="10"/>
      <c r="I1118" s="10"/>
      <c r="J1118" s="10"/>
      <c r="K1118" s="10"/>
      <c r="L1118" s="10"/>
      <c r="M1118" s="10"/>
      <c r="N1118" s="10"/>
    </row>
    <row r="1119" spans="1:14" x14ac:dyDescent="0.8">
      <c r="A1119" s="22" t="s">
        <v>252</v>
      </c>
      <c r="B1119" s="13"/>
      <c r="C1119" s="6"/>
    </row>
    <row r="1120" spans="1:14" x14ac:dyDescent="0.8">
      <c r="A1120" s="22" t="s">
        <v>253</v>
      </c>
      <c r="B1120" s="13"/>
      <c r="C1120" s="6"/>
    </row>
    <row r="1121" spans="1:3" x14ac:dyDescent="0.8">
      <c r="A1121" s="5" t="s">
        <v>6</v>
      </c>
      <c r="B1121" s="13">
        <f>5.75*1000*'[2]Design Info, Unit conversions'!D56</f>
        <v>226.377952755</v>
      </c>
      <c r="C1121" s="6" t="s">
        <v>7</v>
      </c>
    </row>
    <row r="1122" spans="1:3" x14ac:dyDescent="0.8">
      <c r="A1122" s="5" t="s">
        <v>8</v>
      </c>
      <c r="B1122" s="13">
        <f>2*'[2]Design Info, Unit conversions'!D56*1000</f>
        <v>78.740157480000008</v>
      </c>
      <c r="C1122" s="6" t="s">
        <v>7</v>
      </c>
    </row>
    <row r="1123" spans="1:3" x14ac:dyDescent="0.8">
      <c r="A1123" s="5" t="s">
        <v>9</v>
      </c>
      <c r="B1123" s="13">
        <f>(B1122*B1121)/144</f>
        <v>123.78496979117153</v>
      </c>
      <c r="C1123" s="6" t="s">
        <v>10</v>
      </c>
    </row>
    <row r="1124" spans="1:3" x14ac:dyDescent="0.8">
      <c r="A1124" s="5" t="s">
        <v>21</v>
      </c>
      <c r="B1124" s="13">
        <f>B1098</f>
        <v>19548.875903150973</v>
      </c>
      <c r="C1124" s="6" t="s">
        <v>244</v>
      </c>
    </row>
    <row r="1125" spans="1:3" x14ac:dyDescent="0.8">
      <c r="A1125" s="5" t="s">
        <v>13</v>
      </c>
      <c r="B1125" s="13">
        <f>B1124/B1123</f>
        <v>157.92608695652174</v>
      </c>
      <c r="C1125" s="6" t="s">
        <v>14</v>
      </c>
    </row>
    <row r="1126" spans="1:3" x14ac:dyDescent="0.8">
      <c r="A1126" s="5" t="s">
        <v>15</v>
      </c>
      <c r="B1126" s="27">
        <f>(B1125/4005)^2</f>
        <v>1.5549008771120283E-3</v>
      </c>
      <c r="C1126" s="6" t="s">
        <v>16</v>
      </c>
    </row>
    <row r="1127" spans="1:3" x14ac:dyDescent="0.8">
      <c r="A1127" s="5" t="s">
        <v>22</v>
      </c>
      <c r="B1127" s="7">
        <f>'[2]Floor Elevations'!D10</f>
        <v>13.451443569499986</v>
      </c>
      <c r="C1127" s="6" t="s">
        <v>23</v>
      </c>
    </row>
    <row r="1128" spans="1:3" x14ac:dyDescent="0.8">
      <c r="A1128" s="5" t="s">
        <v>28</v>
      </c>
      <c r="B1128" s="28">
        <v>1E-3</v>
      </c>
      <c r="C1128" s="15" t="s">
        <v>216</v>
      </c>
    </row>
    <row r="1129" spans="1:3" x14ac:dyDescent="0.8">
      <c r="A1129" s="22" t="s">
        <v>254</v>
      </c>
      <c r="B1129" s="13"/>
      <c r="C1129" s="6"/>
    </row>
    <row r="1130" spans="1:3" x14ac:dyDescent="0.8">
      <c r="A1130" s="5" t="s">
        <v>6</v>
      </c>
      <c r="B1130" s="13">
        <f>$B$1121</f>
        <v>226.377952755</v>
      </c>
      <c r="C1130" s="6" t="s">
        <v>7</v>
      </c>
    </row>
    <row r="1131" spans="1:3" x14ac:dyDescent="0.8">
      <c r="A1131" s="5" t="s">
        <v>8</v>
      </c>
      <c r="B1131" s="13">
        <f>$B$1122</f>
        <v>78.740157480000008</v>
      </c>
      <c r="C1131" s="6" t="s">
        <v>7</v>
      </c>
    </row>
    <row r="1132" spans="1:3" x14ac:dyDescent="0.8">
      <c r="A1132" s="5" t="s">
        <v>9</v>
      </c>
      <c r="B1132" s="13">
        <f>(B1131*B1130)/144</f>
        <v>123.78496979117153</v>
      </c>
      <c r="C1132" s="6" t="s">
        <v>10</v>
      </c>
    </row>
    <row r="1133" spans="1:3" x14ac:dyDescent="0.8">
      <c r="A1133" s="5" t="s">
        <v>21</v>
      </c>
      <c r="B1133" s="13">
        <f>B1124+(0.5*$F$1021)</f>
        <v>29323.313854726461</v>
      </c>
      <c r="C1133" s="6" t="s">
        <v>244</v>
      </c>
    </row>
    <row r="1134" spans="1:3" x14ac:dyDescent="0.8">
      <c r="A1134" s="5" t="s">
        <v>13</v>
      </c>
      <c r="B1134" s="13">
        <f>B1133/B1132</f>
        <v>236.88913043478263</v>
      </c>
      <c r="C1134" s="6" t="s">
        <v>14</v>
      </c>
    </row>
    <row r="1135" spans="1:3" x14ac:dyDescent="0.8">
      <c r="A1135" s="5" t="s">
        <v>15</v>
      </c>
      <c r="B1135" s="27">
        <f>(B1134/4005)^2</f>
        <v>3.4985269735020651E-3</v>
      </c>
      <c r="C1135" s="6" t="s">
        <v>16</v>
      </c>
    </row>
    <row r="1136" spans="1:3" x14ac:dyDescent="0.8">
      <c r="A1136" s="5" t="s">
        <v>22</v>
      </c>
      <c r="B1136" s="7">
        <f>'[2]Floor Elevations'!D19</f>
        <v>20.341207349000001</v>
      </c>
      <c r="C1136" s="6" t="s">
        <v>23</v>
      </c>
    </row>
    <row r="1137" spans="1:3" x14ac:dyDescent="0.8">
      <c r="A1137" s="5" t="s">
        <v>28</v>
      </c>
      <c r="B1137" s="28">
        <v>1E-3</v>
      </c>
      <c r="C1137" s="15" t="s">
        <v>216</v>
      </c>
    </row>
    <row r="1138" spans="1:3" x14ac:dyDescent="0.8">
      <c r="A1138" s="22" t="s">
        <v>255</v>
      </c>
      <c r="B1138" s="13"/>
      <c r="C1138" s="6"/>
    </row>
    <row r="1139" spans="1:3" x14ac:dyDescent="0.8">
      <c r="A1139" s="5" t="s">
        <v>6</v>
      </c>
      <c r="B1139" s="13">
        <f>$B$1121</f>
        <v>226.377952755</v>
      </c>
      <c r="C1139" s="6" t="s">
        <v>7</v>
      </c>
    </row>
    <row r="1140" spans="1:3" x14ac:dyDescent="0.8">
      <c r="A1140" s="5" t="s">
        <v>8</v>
      </c>
      <c r="B1140" s="13">
        <f>$B$1122</f>
        <v>78.740157480000008</v>
      </c>
      <c r="C1140" s="6" t="s">
        <v>7</v>
      </c>
    </row>
    <row r="1141" spans="1:3" x14ac:dyDescent="0.8">
      <c r="A1141" s="5" t="s">
        <v>9</v>
      </c>
      <c r="B1141" s="13">
        <f>(B1140*B1139)/144</f>
        <v>123.78496979117153</v>
      </c>
      <c r="C1141" s="6" t="s">
        <v>10</v>
      </c>
    </row>
    <row r="1142" spans="1:3" x14ac:dyDescent="0.8">
      <c r="A1142" s="5" t="s">
        <v>21</v>
      </c>
      <c r="B1142" s="13">
        <f>B1133+(0.5*$F$1021)</f>
        <v>39097.751806301945</v>
      </c>
      <c r="C1142" s="6" t="s">
        <v>244</v>
      </c>
    </row>
    <row r="1143" spans="1:3" x14ac:dyDescent="0.8">
      <c r="A1143" s="5" t="s">
        <v>13</v>
      </c>
      <c r="B1143" s="13">
        <f>B1142/B1141</f>
        <v>315.85217391304349</v>
      </c>
      <c r="C1143" s="6" t="s">
        <v>14</v>
      </c>
    </row>
    <row r="1144" spans="1:3" x14ac:dyDescent="0.8">
      <c r="A1144" s="5" t="s">
        <v>15</v>
      </c>
      <c r="B1144" s="27">
        <f>(B1143/4005)^2</f>
        <v>6.2196035084481132E-3</v>
      </c>
      <c r="C1144" s="6" t="s">
        <v>16</v>
      </c>
    </row>
    <row r="1145" spans="1:3" x14ac:dyDescent="0.8">
      <c r="A1145" s="5" t="s">
        <v>22</v>
      </c>
      <c r="B1145" s="7">
        <f>'[2]Floor Elevations'!D12</f>
        <v>20.341207349000001</v>
      </c>
      <c r="C1145" s="6" t="s">
        <v>23</v>
      </c>
    </row>
    <row r="1146" spans="1:3" x14ac:dyDescent="0.8">
      <c r="A1146" s="5" t="s">
        <v>28</v>
      </c>
      <c r="B1146" s="28">
        <v>1E-3</v>
      </c>
      <c r="C1146" s="15" t="s">
        <v>216</v>
      </c>
    </row>
    <row r="1147" spans="1:3" x14ac:dyDescent="0.8">
      <c r="A1147" s="22" t="s">
        <v>256</v>
      </c>
      <c r="B1147" s="13"/>
      <c r="C1147" s="6"/>
    </row>
    <row r="1148" spans="1:3" x14ac:dyDescent="0.8">
      <c r="A1148" s="5" t="s">
        <v>6</v>
      </c>
      <c r="B1148" s="13">
        <f>$B$1121</f>
        <v>226.377952755</v>
      </c>
      <c r="C1148" s="6" t="s">
        <v>7</v>
      </c>
    </row>
    <row r="1149" spans="1:3" x14ac:dyDescent="0.8">
      <c r="A1149" s="5" t="s">
        <v>8</v>
      </c>
      <c r="B1149" s="13">
        <f>$B$1122</f>
        <v>78.740157480000008</v>
      </c>
      <c r="C1149" s="6" t="s">
        <v>7</v>
      </c>
    </row>
    <row r="1150" spans="1:3" x14ac:dyDescent="0.8">
      <c r="A1150" s="5" t="s">
        <v>9</v>
      </c>
      <c r="B1150" s="13">
        <f>(B1149*B1148)/144</f>
        <v>123.78496979117153</v>
      </c>
      <c r="C1150" s="6" t="s">
        <v>10</v>
      </c>
    </row>
    <row r="1151" spans="1:3" x14ac:dyDescent="0.8">
      <c r="A1151" s="5" t="s">
        <v>21</v>
      </c>
      <c r="B1151" s="13">
        <f>B1142+(0.5*$F$1021)</f>
        <v>48872.18975787743</v>
      </c>
      <c r="C1151" s="6" t="s">
        <v>244</v>
      </c>
    </row>
    <row r="1152" spans="1:3" x14ac:dyDescent="0.8">
      <c r="A1152" s="5" t="s">
        <v>13</v>
      </c>
      <c r="B1152" s="13">
        <f>B1151/B1150</f>
        <v>394.81521739130432</v>
      </c>
      <c r="C1152" s="6" t="s">
        <v>14</v>
      </c>
    </row>
    <row r="1153" spans="1:3" x14ac:dyDescent="0.8">
      <c r="A1153" s="5" t="s">
        <v>15</v>
      </c>
      <c r="B1153" s="27">
        <f>(B1152/4005)^2</f>
        <v>9.7181304819501779E-3</v>
      </c>
      <c r="C1153" s="6" t="s">
        <v>16</v>
      </c>
    </row>
    <row r="1154" spans="1:3" x14ac:dyDescent="0.8">
      <c r="A1154" s="5" t="s">
        <v>22</v>
      </c>
      <c r="B1154" s="7">
        <f>'[2]Floor Elevations'!D13</f>
        <v>20.341207349000001</v>
      </c>
      <c r="C1154" s="6" t="s">
        <v>23</v>
      </c>
    </row>
    <row r="1155" spans="1:3" x14ac:dyDescent="0.8">
      <c r="A1155" s="5" t="s">
        <v>28</v>
      </c>
      <c r="B1155" s="28">
        <v>1E-3</v>
      </c>
      <c r="C1155" s="15" t="s">
        <v>216</v>
      </c>
    </row>
    <row r="1156" spans="1:3" x14ac:dyDescent="0.8">
      <c r="A1156" s="22" t="s">
        <v>257</v>
      </c>
      <c r="B1156" s="13"/>
      <c r="C1156" s="6"/>
    </row>
    <row r="1157" spans="1:3" x14ac:dyDescent="0.8">
      <c r="A1157" s="5" t="s">
        <v>6</v>
      </c>
      <c r="B1157" s="13">
        <f>$B$1121</f>
        <v>226.377952755</v>
      </c>
      <c r="C1157" s="6" t="s">
        <v>7</v>
      </c>
    </row>
    <row r="1158" spans="1:3" x14ac:dyDescent="0.8">
      <c r="A1158" s="5" t="s">
        <v>8</v>
      </c>
      <c r="B1158" s="13">
        <f>$B$1122</f>
        <v>78.740157480000008</v>
      </c>
      <c r="C1158" s="6" t="s">
        <v>7</v>
      </c>
    </row>
    <row r="1159" spans="1:3" x14ac:dyDescent="0.8">
      <c r="A1159" s="5" t="s">
        <v>9</v>
      </c>
      <c r="B1159" s="13">
        <f>(B1158*B1157)/144</f>
        <v>123.78496979117153</v>
      </c>
      <c r="C1159" s="6" t="s">
        <v>10</v>
      </c>
    </row>
    <row r="1160" spans="1:3" x14ac:dyDescent="0.8">
      <c r="A1160" s="5" t="s">
        <v>21</v>
      </c>
      <c r="B1160" s="13">
        <f>B1151+(0.5*$F$1021)</f>
        <v>58646.627709452914</v>
      </c>
      <c r="C1160" s="6" t="s">
        <v>244</v>
      </c>
    </row>
    <row r="1161" spans="1:3" x14ac:dyDescent="0.8">
      <c r="A1161" s="5" t="s">
        <v>13</v>
      </c>
      <c r="B1161" s="13">
        <f>B1160/B1159</f>
        <v>473.7782608695652</v>
      </c>
      <c r="C1161" s="6" t="s">
        <v>14</v>
      </c>
    </row>
    <row r="1162" spans="1:3" x14ac:dyDescent="0.8">
      <c r="A1162" s="5" t="s">
        <v>15</v>
      </c>
      <c r="B1162" s="27">
        <f>(B1161/4005)^2</f>
        <v>1.3994107894008257E-2</v>
      </c>
      <c r="C1162" s="6" t="s">
        <v>16</v>
      </c>
    </row>
    <row r="1163" spans="1:3" x14ac:dyDescent="0.8">
      <c r="A1163" s="5" t="s">
        <v>22</v>
      </c>
      <c r="B1163" s="7">
        <f>'[2]Floor Elevations'!D14</f>
        <v>20.34120734900003</v>
      </c>
      <c r="C1163" s="6" t="s">
        <v>23</v>
      </c>
    </row>
    <row r="1164" spans="1:3" x14ac:dyDescent="0.8">
      <c r="A1164" s="5" t="s">
        <v>28</v>
      </c>
      <c r="B1164" s="28">
        <v>1E-3</v>
      </c>
      <c r="C1164" s="15" t="s">
        <v>216</v>
      </c>
    </row>
    <row r="1165" spans="1:3" x14ac:dyDescent="0.8">
      <c r="A1165" s="22" t="s">
        <v>258</v>
      </c>
      <c r="B1165" s="13"/>
      <c r="C1165" s="6"/>
    </row>
    <row r="1166" spans="1:3" x14ac:dyDescent="0.8">
      <c r="A1166" s="5" t="s">
        <v>6</v>
      </c>
      <c r="B1166" s="13">
        <f>$B$1121</f>
        <v>226.377952755</v>
      </c>
      <c r="C1166" s="6" t="s">
        <v>7</v>
      </c>
    </row>
    <row r="1167" spans="1:3" x14ac:dyDescent="0.8">
      <c r="A1167" s="5" t="s">
        <v>8</v>
      </c>
      <c r="B1167" s="13">
        <f>$B$1122</f>
        <v>78.740157480000008</v>
      </c>
      <c r="C1167" s="6" t="s">
        <v>7</v>
      </c>
    </row>
    <row r="1168" spans="1:3" x14ac:dyDescent="0.8">
      <c r="A1168" s="5" t="s">
        <v>9</v>
      </c>
      <c r="B1168" s="13">
        <f>(B1167*B1166)/144</f>
        <v>123.78496979117153</v>
      </c>
      <c r="C1168" s="6" t="s">
        <v>10</v>
      </c>
    </row>
    <row r="1169" spans="1:3" x14ac:dyDescent="0.8">
      <c r="A1169" s="5" t="s">
        <v>21</v>
      </c>
      <c r="B1169" s="13">
        <f>B1160+(0.5*$F$1021)</f>
        <v>68421.065661028406</v>
      </c>
      <c r="C1169" s="6" t="s">
        <v>244</v>
      </c>
    </row>
    <row r="1170" spans="1:3" x14ac:dyDescent="0.8">
      <c r="A1170" s="5" t="s">
        <v>13</v>
      </c>
      <c r="B1170" s="13">
        <f>B1169/B1168</f>
        <v>552.74130434782614</v>
      </c>
      <c r="C1170" s="6" t="s">
        <v>14</v>
      </c>
    </row>
    <row r="1171" spans="1:3" x14ac:dyDescent="0.8">
      <c r="A1171" s="5" t="s">
        <v>15</v>
      </c>
      <c r="B1171" s="27">
        <f>(B1170/4005)^2</f>
        <v>1.9047535744622354E-2</v>
      </c>
      <c r="C1171" s="6" t="s">
        <v>16</v>
      </c>
    </row>
    <row r="1172" spans="1:3" x14ac:dyDescent="0.8">
      <c r="A1172" s="5" t="s">
        <v>22</v>
      </c>
      <c r="B1172" s="7">
        <f>'[2]Floor Elevations'!D15</f>
        <v>20.341207349000001</v>
      </c>
      <c r="C1172" s="6" t="s">
        <v>23</v>
      </c>
    </row>
    <row r="1173" spans="1:3" x14ac:dyDescent="0.8">
      <c r="A1173" s="5" t="s">
        <v>28</v>
      </c>
      <c r="B1173" s="28">
        <v>1E-3</v>
      </c>
      <c r="C1173" s="15" t="s">
        <v>216</v>
      </c>
    </row>
    <row r="1174" spans="1:3" x14ac:dyDescent="0.8">
      <c r="A1174" s="22" t="s">
        <v>259</v>
      </c>
      <c r="B1174" s="13"/>
      <c r="C1174" s="6"/>
    </row>
    <row r="1175" spans="1:3" x14ac:dyDescent="0.8">
      <c r="A1175" s="5" t="s">
        <v>6</v>
      </c>
      <c r="B1175" s="13">
        <f>$B$1121</f>
        <v>226.377952755</v>
      </c>
      <c r="C1175" s="6" t="s">
        <v>7</v>
      </c>
    </row>
    <row r="1176" spans="1:3" x14ac:dyDescent="0.8">
      <c r="A1176" s="5" t="s">
        <v>8</v>
      </c>
      <c r="B1176" s="13">
        <f>$B$1122</f>
        <v>78.740157480000008</v>
      </c>
      <c r="C1176" s="6" t="s">
        <v>7</v>
      </c>
    </row>
    <row r="1177" spans="1:3" x14ac:dyDescent="0.8">
      <c r="A1177" s="5" t="s">
        <v>9</v>
      </c>
      <c r="B1177" s="13">
        <f>(B1176*B1175)/144</f>
        <v>123.78496979117153</v>
      </c>
      <c r="C1177" s="6" t="s">
        <v>10</v>
      </c>
    </row>
    <row r="1178" spans="1:3" x14ac:dyDescent="0.8">
      <c r="A1178" s="5" t="s">
        <v>21</v>
      </c>
      <c r="B1178" s="13">
        <f>B1169+(0.5*$F$1021)</f>
        <v>78195.50361260389</v>
      </c>
      <c r="C1178" s="6" t="s">
        <v>244</v>
      </c>
    </row>
    <row r="1179" spans="1:3" x14ac:dyDescent="0.8">
      <c r="A1179" s="5" t="s">
        <v>13</v>
      </c>
      <c r="B1179" s="13">
        <f>B1178/B1177</f>
        <v>631.70434782608697</v>
      </c>
      <c r="C1179" s="6" t="s">
        <v>14</v>
      </c>
    </row>
    <row r="1180" spans="1:3" x14ac:dyDescent="0.8">
      <c r="A1180" s="5" t="s">
        <v>15</v>
      </c>
      <c r="B1180" s="27">
        <f>(B1179/4005)^2</f>
        <v>2.4878414033792453E-2</v>
      </c>
      <c r="C1180" s="6" t="s">
        <v>16</v>
      </c>
    </row>
    <row r="1181" spans="1:3" x14ac:dyDescent="0.8">
      <c r="A1181" s="5" t="s">
        <v>22</v>
      </c>
      <c r="B1181" s="7">
        <f>'[2]Floor Elevations'!D16</f>
        <v>20.341207349000001</v>
      </c>
      <c r="C1181" s="6" t="s">
        <v>23</v>
      </c>
    </row>
    <row r="1182" spans="1:3" x14ac:dyDescent="0.8">
      <c r="A1182" s="5" t="s">
        <v>28</v>
      </c>
      <c r="B1182" s="28">
        <v>1E-3</v>
      </c>
      <c r="C1182" s="15" t="s">
        <v>216</v>
      </c>
    </row>
    <row r="1183" spans="1:3" x14ac:dyDescent="0.8">
      <c r="A1183" s="22" t="s">
        <v>260</v>
      </c>
      <c r="B1183" s="13"/>
      <c r="C1183" s="6"/>
    </row>
    <row r="1184" spans="1:3" x14ac:dyDescent="0.8">
      <c r="A1184" s="5" t="s">
        <v>6</v>
      </c>
      <c r="B1184" s="13">
        <f>$B$1121</f>
        <v>226.377952755</v>
      </c>
      <c r="C1184" s="6" t="s">
        <v>7</v>
      </c>
    </row>
    <row r="1185" spans="1:3" x14ac:dyDescent="0.8">
      <c r="A1185" s="5" t="s">
        <v>8</v>
      </c>
      <c r="B1185" s="13">
        <f>$B$1122</f>
        <v>78.740157480000008</v>
      </c>
      <c r="C1185" s="6" t="s">
        <v>7</v>
      </c>
    </row>
    <row r="1186" spans="1:3" x14ac:dyDescent="0.8">
      <c r="A1186" s="5" t="s">
        <v>9</v>
      </c>
      <c r="B1186" s="13">
        <f>(B1185*B1184)/144</f>
        <v>123.78496979117153</v>
      </c>
      <c r="C1186" s="6" t="s">
        <v>10</v>
      </c>
    </row>
    <row r="1187" spans="1:3" x14ac:dyDescent="0.8">
      <c r="A1187" s="5" t="s">
        <v>21</v>
      </c>
      <c r="B1187" s="13">
        <f>B1178+(0.5*$F$1021)</f>
        <v>87969.941564179375</v>
      </c>
      <c r="C1187" s="6" t="s">
        <v>244</v>
      </c>
    </row>
    <row r="1188" spans="1:3" x14ac:dyDescent="0.8">
      <c r="A1188" s="5" t="s">
        <v>13</v>
      </c>
      <c r="B1188" s="13">
        <f>B1187/B1186</f>
        <v>710.6673913043478</v>
      </c>
      <c r="C1188" s="6" t="s">
        <v>14</v>
      </c>
    </row>
    <row r="1189" spans="1:3" x14ac:dyDescent="0.8">
      <c r="A1189" s="5" t="s">
        <v>15</v>
      </c>
      <c r="B1189" s="27">
        <f>(B1188/4005)^2</f>
        <v>3.1486742761518575E-2</v>
      </c>
      <c r="C1189" s="6" t="s">
        <v>16</v>
      </c>
    </row>
    <row r="1190" spans="1:3" x14ac:dyDescent="0.8">
      <c r="A1190" s="5" t="s">
        <v>22</v>
      </c>
      <c r="B1190" s="7">
        <f>'[2]Floor Elevations'!D17</f>
        <v>20.341207349000001</v>
      </c>
      <c r="C1190" s="6" t="s">
        <v>23</v>
      </c>
    </row>
    <row r="1191" spans="1:3" x14ac:dyDescent="0.8">
      <c r="A1191" s="5" t="s">
        <v>28</v>
      </c>
      <c r="B1191" s="28">
        <v>1E-3</v>
      </c>
      <c r="C1191" s="15" t="s">
        <v>216</v>
      </c>
    </row>
    <row r="1192" spans="1:3" x14ac:dyDescent="0.8">
      <c r="A1192" s="22" t="s">
        <v>261</v>
      </c>
      <c r="B1192" s="13"/>
      <c r="C1192" s="6"/>
    </row>
    <row r="1193" spans="1:3" x14ac:dyDescent="0.8">
      <c r="A1193" s="5" t="s">
        <v>6</v>
      </c>
      <c r="B1193" s="13">
        <f>$B$1121</f>
        <v>226.377952755</v>
      </c>
      <c r="C1193" s="6" t="s">
        <v>7</v>
      </c>
    </row>
    <row r="1194" spans="1:3" x14ac:dyDescent="0.8">
      <c r="A1194" s="5" t="s">
        <v>8</v>
      </c>
      <c r="B1194" s="13">
        <f>$B$1122</f>
        <v>78.740157480000008</v>
      </c>
      <c r="C1194" s="6" t="s">
        <v>7</v>
      </c>
    </row>
    <row r="1195" spans="1:3" x14ac:dyDescent="0.8">
      <c r="A1195" s="5" t="s">
        <v>9</v>
      </c>
      <c r="B1195" s="13">
        <f>(B1194*B1193)/144</f>
        <v>123.78496979117153</v>
      </c>
      <c r="C1195" s="6" t="s">
        <v>10</v>
      </c>
    </row>
    <row r="1196" spans="1:3" x14ac:dyDescent="0.8">
      <c r="A1196" s="5" t="s">
        <v>21</v>
      </c>
      <c r="B1196" s="13">
        <f>B1187+(0.5*$F$1021)</f>
        <v>97744.379515754859</v>
      </c>
      <c r="C1196" s="6" t="s">
        <v>244</v>
      </c>
    </row>
    <row r="1197" spans="1:3" x14ac:dyDescent="0.8">
      <c r="A1197" s="5" t="s">
        <v>13</v>
      </c>
      <c r="B1197" s="13">
        <f>B1196/B1195</f>
        <v>789.63043478260863</v>
      </c>
      <c r="C1197" s="6" t="s">
        <v>14</v>
      </c>
    </row>
    <row r="1198" spans="1:3" x14ac:dyDescent="0.8">
      <c r="A1198" s="5" t="s">
        <v>15</v>
      </c>
      <c r="B1198" s="27">
        <f>(B1197/4005)^2</f>
        <v>3.8872521927800711E-2</v>
      </c>
      <c r="C1198" s="6" t="s">
        <v>16</v>
      </c>
    </row>
    <row r="1199" spans="1:3" x14ac:dyDescent="0.8">
      <c r="A1199" s="5" t="s">
        <v>22</v>
      </c>
      <c r="B1199" s="7">
        <f>'[2]Floor Elevations'!D18</f>
        <v>20.341207349000001</v>
      </c>
      <c r="C1199" s="6" t="s">
        <v>23</v>
      </c>
    </row>
    <row r="1200" spans="1:3" x14ac:dyDescent="0.8">
      <c r="A1200" s="5" t="s">
        <v>28</v>
      </c>
      <c r="B1200" s="28">
        <v>1E-3</v>
      </c>
      <c r="C1200" s="15" t="s">
        <v>216</v>
      </c>
    </row>
    <row r="1201" spans="1:3" x14ac:dyDescent="0.8">
      <c r="A1201" s="22" t="s">
        <v>262</v>
      </c>
      <c r="B1201" s="13"/>
      <c r="C1201" s="6"/>
    </row>
    <row r="1202" spans="1:3" x14ac:dyDescent="0.8">
      <c r="A1202" s="5" t="s">
        <v>6</v>
      </c>
      <c r="B1202" s="13">
        <f>$B$1121</f>
        <v>226.377952755</v>
      </c>
      <c r="C1202" s="6" t="s">
        <v>7</v>
      </c>
    </row>
    <row r="1203" spans="1:3" x14ac:dyDescent="0.8">
      <c r="A1203" s="5" t="s">
        <v>8</v>
      </c>
      <c r="B1203" s="13">
        <f>$B$1122</f>
        <v>78.740157480000008</v>
      </c>
      <c r="C1203" s="6" t="s">
        <v>7</v>
      </c>
    </row>
    <row r="1204" spans="1:3" x14ac:dyDescent="0.8">
      <c r="A1204" s="5" t="s">
        <v>9</v>
      </c>
      <c r="B1204" s="13">
        <f>(B1203*B1202)/144</f>
        <v>123.78496979117153</v>
      </c>
      <c r="C1204" s="6" t="s">
        <v>10</v>
      </c>
    </row>
    <row r="1205" spans="1:3" x14ac:dyDescent="0.8">
      <c r="A1205" s="5" t="s">
        <v>21</v>
      </c>
      <c r="B1205" s="13">
        <f>B1196+(0.5*$F$1021)</f>
        <v>107518.81746733034</v>
      </c>
      <c r="C1205" s="6" t="s">
        <v>244</v>
      </c>
    </row>
    <row r="1206" spans="1:3" x14ac:dyDescent="0.8">
      <c r="A1206" s="5" t="s">
        <v>13</v>
      </c>
      <c r="B1206" s="13">
        <f>B1205/B1204</f>
        <v>868.59347826086957</v>
      </c>
      <c r="C1206" s="6" t="s">
        <v>14</v>
      </c>
    </row>
    <row r="1207" spans="1:3" x14ac:dyDescent="0.8">
      <c r="A1207" s="5" t="s">
        <v>15</v>
      </c>
      <c r="B1207" s="27">
        <f>(B1206/4005)^2</f>
        <v>4.7035751532638864E-2</v>
      </c>
      <c r="C1207" s="6" t="s">
        <v>16</v>
      </c>
    </row>
    <row r="1208" spans="1:3" x14ac:dyDescent="0.8">
      <c r="A1208" s="5" t="s">
        <v>22</v>
      </c>
      <c r="B1208" s="7">
        <f>'[2]Floor Elevations'!D19</f>
        <v>20.341207349000001</v>
      </c>
      <c r="C1208" s="6" t="s">
        <v>23</v>
      </c>
    </row>
    <row r="1209" spans="1:3" x14ac:dyDescent="0.8">
      <c r="A1209" s="5" t="s">
        <v>28</v>
      </c>
      <c r="B1209" s="28">
        <v>1E-3</v>
      </c>
      <c r="C1209" s="15" t="s">
        <v>216</v>
      </c>
    </row>
    <row r="1210" spans="1:3" x14ac:dyDescent="0.8">
      <c r="A1210" s="22" t="s">
        <v>263</v>
      </c>
      <c r="B1210" s="13"/>
      <c r="C1210" s="6"/>
    </row>
    <row r="1211" spans="1:3" x14ac:dyDescent="0.8">
      <c r="A1211" s="5" t="s">
        <v>6</v>
      </c>
      <c r="B1211" s="13">
        <f>$B$1121</f>
        <v>226.377952755</v>
      </c>
      <c r="C1211" s="6" t="s">
        <v>7</v>
      </c>
    </row>
    <row r="1212" spans="1:3" x14ac:dyDescent="0.8">
      <c r="A1212" s="5" t="s">
        <v>8</v>
      </c>
      <c r="B1212" s="13">
        <f>$B$1122</f>
        <v>78.740157480000008</v>
      </c>
      <c r="C1212" s="6" t="s">
        <v>7</v>
      </c>
    </row>
    <row r="1213" spans="1:3" x14ac:dyDescent="0.8">
      <c r="A1213" s="5" t="s">
        <v>9</v>
      </c>
      <c r="B1213" s="13">
        <f>(B1212*B1211)/144</f>
        <v>123.78496979117153</v>
      </c>
      <c r="C1213" s="6" t="s">
        <v>10</v>
      </c>
    </row>
    <row r="1214" spans="1:3" x14ac:dyDescent="0.8">
      <c r="A1214" s="5" t="s">
        <v>21</v>
      </c>
      <c r="B1214" s="13">
        <f>B1205+(0.5*$F$1021)</f>
        <v>117293.25541890583</v>
      </c>
      <c r="C1214" s="6" t="s">
        <v>244</v>
      </c>
    </row>
    <row r="1215" spans="1:3" x14ac:dyDescent="0.8">
      <c r="A1215" s="5" t="s">
        <v>13</v>
      </c>
      <c r="B1215" s="13">
        <f>B1214/B1213</f>
        <v>947.5565217391304</v>
      </c>
      <c r="C1215" s="6" t="s">
        <v>14</v>
      </c>
    </row>
    <row r="1216" spans="1:3" x14ac:dyDescent="0.8">
      <c r="A1216" s="5" t="s">
        <v>15</v>
      </c>
      <c r="B1216" s="27">
        <f>(B1215/4005)^2</f>
        <v>5.5976431576033027E-2</v>
      </c>
      <c r="C1216" s="6" t="s">
        <v>16</v>
      </c>
    </row>
    <row r="1217" spans="1:3" x14ac:dyDescent="0.8">
      <c r="A1217" s="5" t="s">
        <v>22</v>
      </c>
      <c r="B1217" s="7">
        <f>'[2]Floor Elevations'!D20</f>
        <v>20.341207349000001</v>
      </c>
      <c r="C1217" s="6" t="s">
        <v>23</v>
      </c>
    </row>
    <row r="1218" spans="1:3" x14ac:dyDescent="0.8">
      <c r="A1218" s="5" t="s">
        <v>28</v>
      </c>
      <c r="B1218" s="28">
        <v>1E-3</v>
      </c>
      <c r="C1218" s="15" t="s">
        <v>216</v>
      </c>
    </row>
    <row r="1219" spans="1:3" x14ac:dyDescent="0.8">
      <c r="A1219" s="22" t="s">
        <v>264</v>
      </c>
      <c r="B1219" s="13"/>
      <c r="C1219" s="6"/>
    </row>
    <row r="1220" spans="1:3" x14ac:dyDescent="0.8">
      <c r="A1220" s="5" t="s">
        <v>6</v>
      </c>
      <c r="B1220" s="13">
        <f>$B$1121</f>
        <v>226.377952755</v>
      </c>
      <c r="C1220" s="6" t="s">
        <v>7</v>
      </c>
    </row>
    <row r="1221" spans="1:3" x14ac:dyDescent="0.8">
      <c r="A1221" s="5" t="s">
        <v>8</v>
      </c>
      <c r="B1221" s="13">
        <f>$B$1122</f>
        <v>78.740157480000008</v>
      </c>
      <c r="C1221" s="6" t="s">
        <v>7</v>
      </c>
    </row>
    <row r="1222" spans="1:3" x14ac:dyDescent="0.8">
      <c r="A1222" s="5" t="s">
        <v>9</v>
      </c>
      <c r="B1222" s="13">
        <f>(B1221*B1220)/144</f>
        <v>123.78496979117153</v>
      </c>
      <c r="C1222" s="6" t="s">
        <v>10</v>
      </c>
    </row>
    <row r="1223" spans="1:3" x14ac:dyDescent="0.8">
      <c r="A1223" s="5" t="s">
        <v>21</v>
      </c>
      <c r="B1223" s="13">
        <f>B1214+(0.5*$F$1021)</f>
        <v>127067.69337048131</v>
      </c>
      <c r="C1223" s="6" t="s">
        <v>244</v>
      </c>
    </row>
    <row r="1224" spans="1:3" x14ac:dyDescent="0.8">
      <c r="A1224" s="5" t="s">
        <v>13</v>
      </c>
      <c r="B1224" s="13">
        <f>B1223/B1222</f>
        <v>1026.5195652173913</v>
      </c>
      <c r="C1224" s="6" t="s">
        <v>14</v>
      </c>
    </row>
    <row r="1225" spans="1:3" x14ac:dyDescent="0.8">
      <c r="A1225" s="5" t="s">
        <v>15</v>
      </c>
      <c r="B1225" s="27">
        <f>(B1224/4005)^2</f>
        <v>6.5694562057983213E-2</v>
      </c>
      <c r="C1225" s="6" t="s">
        <v>16</v>
      </c>
    </row>
    <row r="1226" spans="1:3" x14ac:dyDescent="0.8">
      <c r="A1226" s="5" t="s">
        <v>22</v>
      </c>
      <c r="B1226" s="7">
        <f>'[2]Floor Elevations'!D21</f>
        <v>20.341207349000001</v>
      </c>
      <c r="C1226" s="6" t="s">
        <v>23</v>
      </c>
    </row>
    <row r="1227" spans="1:3" x14ac:dyDescent="0.8">
      <c r="A1227" s="5" t="s">
        <v>28</v>
      </c>
      <c r="B1227" s="28">
        <v>1E-3</v>
      </c>
      <c r="C1227" s="15" t="s">
        <v>216</v>
      </c>
    </row>
    <row r="1228" spans="1:3" x14ac:dyDescent="0.8">
      <c r="A1228" s="22" t="s">
        <v>265</v>
      </c>
      <c r="B1228" s="13"/>
      <c r="C1228" s="6"/>
    </row>
    <row r="1229" spans="1:3" x14ac:dyDescent="0.8">
      <c r="A1229" s="5" t="s">
        <v>6</v>
      </c>
      <c r="B1229" s="13">
        <f>$B$1121</f>
        <v>226.377952755</v>
      </c>
      <c r="C1229" s="6" t="s">
        <v>7</v>
      </c>
    </row>
    <row r="1230" spans="1:3" x14ac:dyDescent="0.8">
      <c r="A1230" s="5" t="s">
        <v>8</v>
      </c>
      <c r="B1230" s="13">
        <f>$B$1122</f>
        <v>78.740157480000008</v>
      </c>
      <c r="C1230" s="6" t="s">
        <v>7</v>
      </c>
    </row>
    <row r="1231" spans="1:3" x14ac:dyDescent="0.8">
      <c r="A1231" s="5" t="s">
        <v>9</v>
      </c>
      <c r="B1231" s="13">
        <f>(B1230*B1229)/144</f>
        <v>123.78496979117153</v>
      </c>
      <c r="C1231" s="6" t="s">
        <v>10</v>
      </c>
    </row>
    <row r="1232" spans="1:3" x14ac:dyDescent="0.8">
      <c r="A1232" s="5" t="s">
        <v>21</v>
      </c>
      <c r="B1232" s="13">
        <f>B1223+(0.5*$F$1021)</f>
        <v>136842.13132205681</v>
      </c>
      <c r="C1232" s="6" t="s">
        <v>244</v>
      </c>
    </row>
    <row r="1233" spans="1:3" x14ac:dyDescent="0.8">
      <c r="A1233" s="5" t="s">
        <v>13</v>
      </c>
      <c r="B1233" s="13">
        <f>B1232/B1231</f>
        <v>1105.4826086956523</v>
      </c>
      <c r="C1233" s="6" t="s">
        <v>14</v>
      </c>
    </row>
    <row r="1234" spans="1:3" x14ac:dyDescent="0.8">
      <c r="A1234" s="5" t="s">
        <v>15</v>
      </c>
      <c r="B1234" s="27">
        <f>(B1233/4005)^2</f>
        <v>7.6190142978489417E-2</v>
      </c>
      <c r="C1234" s="6" t="s">
        <v>16</v>
      </c>
    </row>
    <row r="1235" spans="1:3" x14ac:dyDescent="0.8">
      <c r="A1235" s="5" t="s">
        <v>22</v>
      </c>
      <c r="B1235" s="7">
        <f>'[2]Floor Elevations'!D22</f>
        <v>20.341207349000001</v>
      </c>
      <c r="C1235" s="6" t="s">
        <v>23</v>
      </c>
    </row>
    <row r="1236" spans="1:3" x14ac:dyDescent="0.8">
      <c r="A1236" s="5" t="s">
        <v>28</v>
      </c>
      <c r="B1236" s="28">
        <v>1E-3</v>
      </c>
      <c r="C1236" s="15" t="s">
        <v>216</v>
      </c>
    </row>
    <row r="1237" spans="1:3" x14ac:dyDescent="0.8">
      <c r="A1237" s="22" t="s">
        <v>266</v>
      </c>
      <c r="B1237" s="13"/>
      <c r="C1237" s="6"/>
    </row>
    <row r="1238" spans="1:3" x14ac:dyDescent="0.8">
      <c r="A1238" s="5" t="s">
        <v>6</v>
      </c>
      <c r="B1238" s="13">
        <f>$B$1121</f>
        <v>226.377952755</v>
      </c>
      <c r="C1238" s="6" t="s">
        <v>7</v>
      </c>
    </row>
    <row r="1239" spans="1:3" x14ac:dyDescent="0.8">
      <c r="A1239" s="5" t="s">
        <v>8</v>
      </c>
      <c r="B1239" s="13">
        <f>$B$1122</f>
        <v>78.740157480000008</v>
      </c>
      <c r="C1239" s="6" t="s">
        <v>7</v>
      </c>
    </row>
    <row r="1240" spans="1:3" x14ac:dyDescent="0.8">
      <c r="A1240" s="5" t="s">
        <v>9</v>
      </c>
      <c r="B1240" s="13">
        <f>(B1239*B1238)/144</f>
        <v>123.78496979117153</v>
      </c>
      <c r="C1240" s="6" t="s">
        <v>10</v>
      </c>
    </row>
    <row r="1241" spans="1:3" x14ac:dyDescent="0.8">
      <c r="A1241" s="5" t="s">
        <v>21</v>
      </c>
      <c r="B1241" s="13">
        <f>B1232+(0.5*$F$1021)</f>
        <v>146616.56927363231</v>
      </c>
      <c r="C1241" s="6" t="s">
        <v>244</v>
      </c>
    </row>
    <row r="1242" spans="1:3" x14ac:dyDescent="0.8">
      <c r="A1242" s="5" t="s">
        <v>13</v>
      </c>
      <c r="B1242" s="13">
        <f>B1241/B1240</f>
        <v>1184.4456521739132</v>
      </c>
      <c r="C1242" s="6" t="s">
        <v>14</v>
      </c>
    </row>
    <row r="1243" spans="1:3" x14ac:dyDescent="0.8">
      <c r="A1243" s="5" t="s">
        <v>15</v>
      </c>
      <c r="B1243" s="27">
        <f>(B1242/4005)^2</f>
        <v>8.7463174337551644E-2</v>
      </c>
      <c r="C1243" s="6" t="s">
        <v>16</v>
      </c>
    </row>
    <row r="1244" spans="1:3" x14ac:dyDescent="0.8">
      <c r="A1244" s="5" t="s">
        <v>22</v>
      </c>
      <c r="B1244" s="7">
        <f>'[2]Floor Elevations'!D23</f>
        <v>13.451443569500043</v>
      </c>
      <c r="C1244" s="6" t="s">
        <v>23</v>
      </c>
    </row>
    <row r="1245" spans="1:3" x14ac:dyDescent="0.8">
      <c r="A1245" s="5" t="s">
        <v>28</v>
      </c>
      <c r="B1245" s="28">
        <v>1E-3</v>
      </c>
      <c r="C1245" s="15" t="s">
        <v>216</v>
      </c>
    </row>
    <row r="1246" spans="1:3" x14ac:dyDescent="0.8">
      <c r="A1246" s="22" t="s">
        <v>125</v>
      </c>
      <c r="B1246" s="13"/>
      <c r="C1246" s="6"/>
    </row>
    <row r="1247" spans="1:3" x14ac:dyDescent="0.8">
      <c r="A1247" s="5" t="s">
        <v>6</v>
      </c>
      <c r="B1247" s="13">
        <f>2000*'[2]Design Info, Unit conversions'!D56</f>
        <v>78.740157480000008</v>
      </c>
      <c r="C1247" s="6" t="s">
        <v>7</v>
      </c>
    </row>
    <row r="1248" spans="1:3" x14ac:dyDescent="0.8">
      <c r="A1248" s="5" t="s">
        <v>8</v>
      </c>
      <c r="B1248" s="13">
        <f>(1900+4700+1900)*'[2]Design Info, Unit conversions'!D56</f>
        <v>334.64566929</v>
      </c>
      <c r="C1248" s="6" t="s">
        <v>7</v>
      </c>
    </row>
    <row r="1249" spans="1:3" x14ac:dyDescent="0.8">
      <c r="A1249" s="5" t="s">
        <v>9</v>
      </c>
      <c r="B1249" s="13">
        <f>(B1248*B1247)/144</f>
        <v>182.9864770826014</v>
      </c>
      <c r="C1249" s="6" t="s">
        <v>10</v>
      </c>
    </row>
    <row r="1250" spans="1:3" x14ac:dyDescent="0.8">
      <c r="A1250" s="5" t="s">
        <v>11</v>
      </c>
      <c r="B1250" s="13">
        <f>B1241</f>
        <v>146616.56927363231</v>
      </c>
      <c r="C1250" s="6" t="s">
        <v>72</v>
      </c>
    </row>
    <row r="1251" spans="1:3" x14ac:dyDescent="0.8">
      <c r="A1251" s="5" t="s">
        <v>13</v>
      </c>
      <c r="B1251" s="13">
        <f>B1250/B1249</f>
        <v>801.24264705882365</v>
      </c>
      <c r="C1251" s="6" t="s">
        <v>14</v>
      </c>
    </row>
    <row r="1252" spans="1:3" x14ac:dyDescent="0.8">
      <c r="A1252" s="5" t="s">
        <v>15</v>
      </c>
      <c r="B1252" s="27">
        <f>(B1251/4005)^2</f>
        <v>4.0024238083533573E-2</v>
      </c>
      <c r="C1252" s="6" t="s">
        <v>16</v>
      </c>
    </row>
    <row r="1253" spans="1:3" x14ac:dyDescent="0.8">
      <c r="A1253" s="5" t="s">
        <v>74</v>
      </c>
      <c r="B1253" s="7">
        <v>0.18</v>
      </c>
      <c r="C1253" s="6" t="s">
        <v>126</v>
      </c>
    </row>
    <row r="1254" spans="1:3" x14ac:dyDescent="0.8">
      <c r="A1254" s="5" t="s">
        <v>76</v>
      </c>
      <c r="B1254" s="37">
        <f>B1253*B1252</f>
        <v>7.2043628550360426E-3</v>
      </c>
      <c r="C1254" s="15" t="s">
        <v>120</v>
      </c>
    </row>
    <row r="1255" spans="1:3" x14ac:dyDescent="0.8">
      <c r="A1255" s="22" t="s">
        <v>29</v>
      </c>
    </row>
    <row r="1256" spans="1:3" x14ac:dyDescent="0.8">
      <c r="A1256" s="5" t="s">
        <v>267</v>
      </c>
      <c r="B1256" s="38">
        <f>B1128</f>
        <v>1E-3</v>
      </c>
      <c r="C1256" s="6" t="s">
        <v>16</v>
      </c>
    </row>
    <row r="1257" spans="1:3" x14ac:dyDescent="0.8">
      <c r="A1257" s="5" t="s">
        <v>268</v>
      </c>
      <c r="B1257" s="38">
        <f>B1137</f>
        <v>1E-3</v>
      </c>
      <c r="C1257" s="6" t="s">
        <v>16</v>
      </c>
    </row>
    <row r="1258" spans="1:3" x14ac:dyDescent="0.8">
      <c r="A1258" s="5" t="s">
        <v>269</v>
      </c>
      <c r="B1258" s="38">
        <f>B1146</f>
        <v>1E-3</v>
      </c>
      <c r="C1258" s="6" t="s">
        <v>16</v>
      </c>
    </row>
    <row r="1259" spans="1:3" x14ac:dyDescent="0.8">
      <c r="A1259" s="5" t="s">
        <v>270</v>
      </c>
      <c r="B1259" s="38">
        <f>B1155</f>
        <v>1E-3</v>
      </c>
      <c r="C1259" s="6" t="s">
        <v>16</v>
      </c>
    </row>
    <row r="1260" spans="1:3" x14ac:dyDescent="0.8">
      <c r="A1260" s="5" t="s">
        <v>271</v>
      </c>
      <c r="B1260" s="38">
        <f>B1164</f>
        <v>1E-3</v>
      </c>
      <c r="C1260" s="6" t="s">
        <v>16</v>
      </c>
    </row>
    <row r="1261" spans="1:3" x14ac:dyDescent="0.8">
      <c r="A1261" s="5" t="s">
        <v>272</v>
      </c>
      <c r="B1261" s="38">
        <f>B1173</f>
        <v>1E-3</v>
      </c>
      <c r="C1261" s="6" t="s">
        <v>16</v>
      </c>
    </row>
    <row r="1262" spans="1:3" x14ac:dyDescent="0.8">
      <c r="A1262" s="5" t="s">
        <v>273</v>
      </c>
      <c r="B1262" s="38">
        <f>B1182</f>
        <v>1E-3</v>
      </c>
      <c r="C1262" s="6" t="s">
        <v>16</v>
      </c>
    </row>
    <row r="1263" spans="1:3" x14ac:dyDescent="0.8">
      <c r="A1263" s="5" t="s">
        <v>274</v>
      </c>
      <c r="B1263" s="38">
        <f>B1191</f>
        <v>1E-3</v>
      </c>
      <c r="C1263" s="6" t="s">
        <v>16</v>
      </c>
    </row>
    <row r="1264" spans="1:3" x14ac:dyDescent="0.8">
      <c r="A1264" s="5" t="s">
        <v>275</v>
      </c>
      <c r="B1264" s="38">
        <f>B1200</f>
        <v>1E-3</v>
      </c>
      <c r="C1264" s="6" t="s">
        <v>16</v>
      </c>
    </row>
    <row r="1265" spans="1:14" x14ac:dyDescent="0.8">
      <c r="A1265" s="5" t="s">
        <v>276</v>
      </c>
      <c r="B1265" s="38">
        <f>B1209</f>
        <v>1E-3</v>
      </c>
      <c r="C1265" s="6" t="s">
        <v>16</v>
      </c>
    </row>
    <row r="1266" spans="1:14" x14ac:dyDescent="0.8">
      <c r="A1266" s="5" t="s">
        <v>277</v>
      </c>
      <c r="B1266" s="38">
        <f>B1218</f>
        <v>1E-3</v>
      </c>
      <c r="C1266" s="6" t="s">
        <v>16</v>
      </c>
    </row>
    <row r="1267" spans="1:14" x14ac:dyDescent="0.8">
      <c r="A1267" s="5" t="s">
        <v>278</v>
      </c>
      <c r="B1267" s="38">
        <f>B1227</f>
        <v>1E-3</v>
      </c>
      <c r="C1267" s="6" t="s">
        <v>16</v>
      </c>
    </row>
    <row r="1268" spans="1:14" x14ac:dyDescent="0.8">
      <c r="A1268" s="5" t="s">
        <v>279</v>
      </c>
      <c r="B1268" s="38">
        <f>B1236</f>
        <v>1E-3</v>
      </c>
      <c r="C1268" s="6" t="s">
        <v>16</v>
      </c>
    </row>
    <row r="1269" spans="1:14" x14ac:dyDescent="0.8">
      <c r="A1269" s="5" t="s">
        <v>280</v>
      </c>
      <c r="B1269" s="38">
        <f>B1254</f>
        <v>7.2043628550360426E-3</v>
      </c>
      <c r="C1269" s="6" t="s">
        <v>16</v>
      </c>
    </row>
    <row r="1270" spans="1:14" x14ac:dyDescent="0.8">
      <c r="A1270" s="5" t="s">
        <v>96</v>
      </c>
      <c r="B1270" s="39">
        <f>SUM(B1256:B1269)</f>
        <v>2.0204362855036045E-2</v>
      </c>
      <c r="C1270" s="19" t="s">
        <v>16</v>
      </c>
    </row>
    <row r="1271" spans="1:14" s="11" customFormat="1" x14ac:dyDescent="0.8">
      <c r="A1271" s="8" t="s">
        <v>251</v>
      </c>
      <c r="B1271" s="9"/>
      <c r="C1271" s="10"/>
      <c r="D1271" s="10"/>
      <c r="E1271" s="10"/>
      <c r="F1271" s="10"/>
      <c r="G1271" s="10"/>
      <c r="H1271" s="10"/>
      <c r="I1271" s="10"/>
      <c r="J1271" s="10"/>
      <c r="K1271" s="10"/>
      <c r="L1271" s="10"/>
      <c r="M1271" s="10"/>
      <c r="N1271" s="10"/>
    </row>
    <row r="1272" spans="1:14" x14ac:dyDescent="0.8">
      <c r="A1272" s="22" t="s">
        <v>281</v>
      </c>
    </row>
    <row r="1273" spans="1:14" x14ac:dyDescent="0.8">
      <c r="A1273" s="5" t="s">
        <v>6</v>
      </c>
      <c r="B1273" s="13">
        <f>1200*'[2]Design Info, Unit conversions'!D56</f>
        <v>47.244094488000002</v>
      </c>
      <c r="C1273" s="6" t="s">
        <v>282</v>
      </c>
    </row>
    <row r="1274" spans="1:14" x14ac:dyDescent="0.8">
      <c r="A1274" s="5" t="s">
        <v>8</v>
      </c>
      <c r="B1274" s="13">
        <f>2000*'[2]Design Info, Unit conversions'!D56</f>
        <v>78.740157480000008</v>
      </c>
      <c r="C1274" s="6" t="s">
        <v>282</v>
      </c>
    </row>
    <row r="1275" spans="1:14" x14ac:dyDescent="0.8">
      <c r="A1275" s="5" t="s">
        <v>9</v>
      </c>
      <c r="B1275" s="13">
        <f>(B1274*B1273)/144</f>
        <v>25.833384999896669</v>
      </c>
      <c r="C1275" s="6" t="s">
        <v>10</v>
      </c>
    </row>
    <row r="1276" spans="1:14" x14ac:dyDescent="0.8">
      <c r="A1276" s="5" t="s">
        <v>283</v>
      </c>
      <c r="B1276" s="7">
        <v>0.1</v>
      </c>
      <c r="C1276" s="6" t="s">
        <v>282</v>
      </c>
    </row>
    <row r="1277" spans="1:14" x14ac:dyDescent="0.8">
      <c r="A1277" s="5" t="s">
        <v>11</v>
      </c>
      <c r="B1277" s="13">
        <f>'[2]AHU8 Data - Design'!C18</f>
        <v>31261.955564262003</v>
      </c>
      <c r="C1277" s="6" t="s">
        <v>33</v>
      </c>
    </row>
    <row r="1278" spans="1:14" x14ac:dyDescent="0.8">
      <c r="A1278" s="5" t="s">
        <v>13</v>
      </c>
      <c r="B1278" s="13">
        <f>B1277/B1275</f>
        <v>1210.1377951200375</v>
      </c>
      <c r="C1278" s="6" t="s">
        <v>14</v>
      </c>
    </row>
    <row r="1279" spans="1:14" x14ac:dyDescent="0.8">
      <c r="A1279" s="5" t="s">
        <v>15</v>
      </c>
      <c r="B1279" s="27">
        <f>(B1278/4005)^2</f>
        <v>9.1298703286184751E-2</v>
      </c>
      <c r="C1279" s="6" t="s">
        <v>16</v>
      </c>
    </row>
    <row r="1280" spans="1:14" x14ac:dyDescent="0.8">
      <c r="A1280" s="5" t="s">
        <v>74</v>
      </c>
      <c r="B1280" s="7">
        <v>0.56000000000000005</v>
      </c>
      <c r="C1280" s="6" t="s">
        <v>284</v>
      </c>
    </row>
    <row r="1281" spans="1:3" x14ac:dyDescent="0.8">
      <c r="A1281" s="5" t="s">
        <v>76</v>
      </c>
      <c r="B1281" s="14">
        <f>B1280*B1279</f>
        <v>5.1127273840263464E-2</v>
      </c>
      <c r="C1281" s="15" t="s">
        <v>120</v>
      </c>
    </row>
    <row r="1282" spans="1:3" x14ac:dyDescent="0.8">
      <c r="A1282" s="22" t="s">
        <v>266</v>
      </c>
      <c r="B1282" s="13"/>
      <c r="C1282" s="6"/>
    </row>
    <row r="1283" spans="1:3" x14ac:dyDescent="0.8">
      <c r="A1283" s="5" t="s">
        <v>6</v>
      </c>
      <c r="B1283" s="13">
        <f>B1273</f>
        <v>47.244094488000002</v>
      </c>
      <c r="C1283" s="6" t="s">
        <v>7</v>
      </c>
    </row>
    <row r="1284" spans="1:3" x14ac:dyDescent="0.8">
      <c r="A1284" s="5" t="s">
        <v>8</v>
      </c>
      <c r="B1284" s="13">
        <f>B1274</f>
        <v>78.740157480000008</v>
      </c>
      <c r="C1284" s="6" t="s">
        <v>7</v>
      </c>
    </row>
    <row r="1285" spans="1:3" x14ac:dyDescent="0.8">
      <c r="A1285" s="5" t="s">
        <v>9</v>
      </c>
      <c r="B1285" s="13">
        <f>(B1284*B1283)/144</f>
        <v>25.833384999896669</v>
      </c>
      <c r="C1285" s="6" t="s">
        <v>10</v>
      </c>
    </row>
    <row r="1286" spans="1:3" x14ac:dyDescent="0.8">
      <c r="A1286" s="5" t="s">
        <v>21</v>
      </c>
      <c r="B1286" s="13">
        <f>B1277</f>
        <v>31261.955564262003</v>
      </c>
      <c r="C1286" s="6" t="s">
        <v>244</v>
      </c>
    </row>
    <row r="1287" spans="1:3" x14ac:dyDescent="0.8">
      <c r="A1287" s="5" t="s">
        <v>13</v>
      </c>
      <c r="B1287" s="13">
        <f>B1286/B1285</f>
        <v>1210.1377951200375</v>
      </c>
      <c r="C1287" s="6" t="s">
        <v>14</v>
      </c>
    </row>
    <row r="1288" spans="1:3" x14ac:dyDescent="0.8">
      <c r="A1288" s="5" t="s">
        <v>15</v>
      </c>
      <c r="B1288" s="27">
        <f>(B1287/4005)^2</f>
        <v>9.1298703286184751E-2</v>
      </c>
      <c r="C1288" s="6" t="s">
        <v>16</v>
      </c>
    </row>
    <row r="1289" spans="1:3" x14ac:dyDescent="0.8">
      <c r="A1289" s="5" t="s">
        <v>22</v>
      </c>
      <c r="B1289" s="7">
        <f>'[2]Floor Elevations'!D24+(0.5*'[2]Floor Elevations'!D25)</f>
        <v>18.84842519677494</v>
      </c>
      <c r="C1289" s="6" t="s">
        <v>23</v>
      </c>
    </row>
    <row r="1290" spans="1:3" x14ac:dyDescent="0.8">
      <c r="A1290" s="5" t="s">
        <v>28</v>
      </c>
      <c r="B1290" s="28">
        <v>1E-3</v>
      </c>
      <c r="C1290" s="15" t="s">
        <v>216</v>
      </c>
    </row>
    <row r="1291" spans="1:3" x14ac:dyDescent="0.8">
      <c r="A1291" s="22" t="s">
        <v>285</v>
      </c>
    </row>
    <row r="1292" spans="1:3" x14ac:dyDescent="0.8">
      <c r="A1292" s="5" t="s">
        <v>6</v>
      </c>
      <c r="B1292" s="13">
        <v>79</v>
      </c>
      <c r="C1292" s="6" t="s">
        <v>282</v>
      </c>
    </row>
    <row r="1293" spans="1:3" x14ac:dyDescent="0.8">
      <c r="A1293" s="5" t="s">
        <v>8</v>
      </c>
      <c r="B1293" s="13">
        <v>47</v>
      </c>
      <c r="C1293" s="6" t="s">
        <v>282</v>
      </c>
    </row>
    <row r="1294" spans="1:3" x14ac:dyDescent="0.8">
      <c r="A1294" s="5" t="s">
        <v>9</v>
      </c>
      <c r="B1294" s="13">
        <f>(B1293*B1292)/144</f>
        <v>25.784722222222221</v>
      </c>
      <c r="C1294" s="6" t="s">
        <v>10</v>
      </c>
    </row>
    <row r="1295" spans="1:3" x14ac:dyDescent="0.8">
      <c r="A1295" s="5" t="s">
        <v>286</v>
      </c>
      <c r="B1295" s="13">
        <v>12</v>
      </c>
      <c r="C1295" s="6" t="s">
        <v>282</v>
      </c>
    </row>
    <row r="1296" spans="1:3" x14ac:dyDescent="0.8">
      <c r="A1296" s="5" t="s">
        <v>287</v>
      </c>
      <c r="B1296" s="13">
        <v>12</v>
      </c>
      <c r="C1296" s="6" t="s">
        <v>288</v>
      </c>
    </row>
    <row r="1297" spans="1:3" x14ac:dyDescent="0.8">
      <c r="A1297" s="5" t="s">
        <v>11</v>
      </c>
      <c r="B1297" s="13">
        <f>B1277</f>
        <v>31261.955564262003</v>
      </c>
      <c r="C1297" s="6" t="s">
        <v>33</v>
      </c>
    </row>
    <row r="1298" spans="1:3" x14ac:dyDescent="0.8">
      <c r="A1298" s="5" t="s">
        <v>13</v>
      </c>
      <c r="B1298" s="13">
        <f>B1297/B1294</f>
        <v>1212.4216539869994</v>
      </c>
      <c r="C1298" s="6" t="s">
        <v>14</v>
      </c>
    </row>
    <row r="1299" spans="1:3" x14ac:dyDescent="0.8">
      <c r="A1299" s="5" t="s">
        <v>15</v>
      </c>
      <c r="B1299" s="27">
        <f>(B1298/4005)^2</f>
        <v>9.164363939935076E-2</v>
      </c>
      <c r="C1299" s="6" t="s">
        <v>16</v>
      </c>
    </row>
    <row r="1300" spans="1:3" x14ac:dyDescent="0.8">
      <c r="A1300" s="5" t="s">
        <v>74</v>
      </c>
      <c r="B1300" s="7">
        <v>0.21</v>
      </c>
      <c r="C1300" s="6" t="s">
        <v>289</v>
      </c>
    </row>
    <row r="1301" spans="1:3" x14ac:dyDescent="0.8">
      <c r="A1301" s="5" t="s">
        <v>76</v>
      </c>
      <c r="B1301" s="14">
        <f>B1300*B1299</f>
        <v>1.924516427386366E-2</v>
      </c>
      <c r="C1301" s="15" t="s">
        <v>120</v>
      </c>
    </row>
    <row r="1302" spans="1:3" x14ac:dyDescent="0.8">
      <c r="A1302" s="22" t="s">
        <v>98</v>
      </c>
      <c r="B1302" s="13"/>
      <c r="C1302" s="6"/>
    </row>
    <row r="1303" spans="1:3" x14ac:dyDescent="0.8">
      <c r="A1303" s="5" t="s">
        <v>6</v>
      </c>
      <c r="B1303" s="13">
        <f>B1292</f>
        <v>79</v>
      </c>
      <c r="C1303" s="6" t="s">
        <v>7</v>
      </c>
    </row>
    <row r="1304" spans="1:3" x14ac:dyDescent="0.8">
      <c r="A1304" s="5" t="s">
        <v>8</v>
      </c>
      <c r="B1304" s="13">
        <f>B1293</f>
        <v>47</v>
      </c>
      <c r="C1304" s="6" t="s">
        <v>7</v>
      </c>
    </row>
    <row r="1305" spans="1:3" x14ac:dyDescent="0.8">
      <c r="A1305" s="5" t="s">
        <v>9</v>
      </c>
      <c r="B1305" s="13">
        <f>(B1304*B1303)/144</f>
        <v>25.784722222222221</v>
      </c>
      <c r="C1305" s="6" t="s">
        <v>10</v>
      </c>
    </row>
    <row r="1306" spans="1:3" x14ac:dyDescent="0.8">
      <c r="A1306" s="5" t="s">
        <v>11</v>
      </c>
      <c r="B1306" s="13">
        <f>B1297</f>
        <v>31261.955564262003</v>
      </c>
      <c r="C1306" s="6" t="s">
        <v>72</v>
      </c>
    </row>
    <row r="1307" spans="1:3" x14ac:dyDescent="0.8">
      <c r="A1307" s="5" t="s">
        <v>13</v>
      </c>
      <c r="B1307" s="13">
        <f>B1306/B1305</f>
        <v>1212.4216539869994</v>
      </c>
      <c r="C1307" s="6" t="s">
        <v>14</v>
      </c>
    </row>
    <row r="1308" spans="1:3" x14ac:dyDescent="0.8">
      <c r="A1308" s="5" t="s">
        <v>15</v>
      </c>
      <c r="B1308" s="7">
        <f>(B1307/4005)^2</f>
        <v>9.164363939935076E-2</v>
      </c>
      <c r="C1308" s="6" t="s">
        <v>16</v>
      </c>
    </row>
    <row r="1309" spans="1:3" x14ac:dyDescent="0.8">
      <c r="A1309" s="5" t="s">
        <v>74</v>
      </c>
      <c r="B1309" s="7">
        <v>0.11</v>
      </c>
      <c r="C1309" s="6" t="s">
        <v>178</v>
      </c>
    </row>
    <row r="1310" spans="1:3" x14ac:dyDescent="0.8">
      <c r="A1310" s="5" t="s">
        <v>76</v>
      </c>
      <c r="B1310" s="14">
        <f>B1309*B1308</f>
        <v>1.0080800333928584E-2</v>
      </c>
      <c r="C1310" s="15" t="s">
        <v>77</v>
      </c>
    </row>
    <row r="1311" spans="1:3" x14ac:dyDescent="0.8">
      <c r="A1311" s="22" t="s">
        <v>89</v>
      </c>
      <c r="B1311" s="13"/>
      <c r="C1311" s="6"/>
    </row>
    <row r="1312" spans="1:3" x14ac:dyDescent="0.8">
      <c r="A1312" s="5" t="s">
        <v>6</v>
      </c>
      <c r="B1312" s="13">
        <f>B1292</f>
        <v>79</v>
      </c>
      <c r="C1312" s="6" t="s">
        <v>7</v>
      </c>
    </row>
    <row r="1313" spans="1:3" x14ac:dyDescent="0.8">
      <c r="A1313" s="5" t="s">
        <v>8</v>
      </c>
      <c r="B1313" s="13">
        <f>B1293</f>
        <v>47</v>
      </c>
      <c r="C1313" s="6" t="s">
        <v>7</v>
      </c>
    </row>
    <row r="1314" spans="1:3" x14ac:dyDescent="0.8">
      <c r="A1314" s="5" t="s">
        <v>9</v>
      </c>
      <c r="B1314" s="13">
        <f>(B1313*B1312)/144</f>
        <v>25.784722222222221</v>
      </c>
      <c r="C1314" s="6" t="s">
        <v>10</v>
      </c>
    </row>
    <row r="1315" spans="1:3" x14ac:dyDescent="0.8">
      <c r="A1315" s="5" t="s">
        <v>21</v>
      </c>
      <c r="B1315" s="13">
        <f>B1306</f>
        <v>31261.955564262003</v>
      </c>
      <c r="C1315" s="6" t="s">
        <v>244</v>
      </c>
    </row>
    <row r="1316" spans="1:3" x14ac:dyDescent="0.8">
      <c r="A1316" s="5" t="s">
        <v>13</v>
      </c>
      <c r="B1316" s="13">
        <f>B1315/B1314</f>
        <v>1212.4216539869994</v>
      </c>
      <c r="C1316" s="6" t="s">
        <v>14</v>
      </c>
    </row>
    <row r="1317" spans="1:3" x14ac:dyDescent="0.8">
      <c r="A1317" s="5" t="s">
        <v>15</v>
      </c>
      <c r="B1317" s="27">
        <f>(B1316/4005)^2</f>
        <v>9.164363939935076E-2</v>
      </c>
      <c r="C1317" s="6" t="s">
        <v>16</v>
      </c>
    </row>
    <row r="1318" spans="1:3" x14ac:dyDescent="0.8">
      <c r="A1318" s="5" t="s">
        <v>22</v>
      </c>
      <c r="B1318" s="7">
        <f>1.55*1000*'[2]Design Info, Unit conversions'!D56/12</f>
        <v>5.0853018372500003</v>
      </c>
      <c r="C1318" s="6" t="s">
        <v>23</v>
      </c>
    </row>
    <row r="1319" spans="1:3" x14ac:dyDescent="0.8">
      <c r="A1319" s="5" t="s">
        <v>28</v>
      </c>
      <c r="B1319" s="28">
        <v>1E-3</v>
      </c>
      <c r="C1319" s="15" t="s">
        <v>216</v>
      </c>
    </row>
    <row r="1320" spans="1:3" x14ac:dyDescent="0.8">
      <c r="A1320" s="22" t="s">
        <v>290</v>
      </c>
    </row>
    <row r="1321" spans="1:3" x14ac:dyDescent="0.8">
      <c r="A1321" s="5" t="s">
        <v>6</v>
      </c>
      <c r="B1321" s="13">
        <f>B1312</f>
        <v>79</v>
      </c>
      <c r="C1321" s="6" t="s">
        <v>282</v>
      </c>
    </row>
    <row r="1322" spans="1:3" x14ac:dyDescent="0.8">
      <c r="A1322" s="5" t="s">
        <v>8</v>
      </c>
      <c r="B1322" s="13">
        <f>B1313</f>
        <v>47</v>
      </c>
      <c r="C1322" s="6" t="s">
        <v>282</v>
      </c>
    </row>
    <row r="1323" spans="1:3" x14ac:dyDescent="0.8">
      <c r="A1323" s="5" t="s">
        <v>9</v>
      </c>
      <c r="B1323" s="13">
        <f>(B1322*B1321)/144</f>
        <v>25.784722222222221</v>
      </c>
      <c r="C1323" s="6" t="s">
        <v>10</v>
      </c>
    </row>
    <row r="1324" spans="1:3" x14ac:dyDescent="0.8">
      <c r="A1324" s="5" t="s">
        <v>291</v>
      </c>
      <c r="B1324" s="13">
        <v>90</v>
      </c>
      <c r="C1324" s="6" t="s">
        <v>292</v>
      </c>
    </row>
    <row r="1325" spans="1:3" x14ac:dyDescent="0.8">
      <c r="A1325" s="5" t="s">
        <v>11</v>
      </c>
      <c r="B1325" s="13">
        <f>B1315</f>
        <v>31261.955564262003</v>
      </c>
      <c r="C1325" s="6" t="s">
        <v>33</v>
      </c>
    </row>
    <row r="1326" spans="1:3" x14ac:dyDescent="0.8">
      <c r="A1326" s="5" t="s">
        <v>13</v>
      </c>
      <c r="B1326" s="13">
        <f>B1325/B1323</f>
        <v>1212.4216539869994</v>
      </c>
      <c r="C1326" s="6" t="s">
        <v>14</v>
      </c>
    </row>
    <row r="1327" spans="1:3" x14ac:dyDescent="0.8">
      <c r="A1327" s="5" t="s">
        <v>15</v>
      </c>
      <c r="B1327" s="27">
        <f>(B1326/4005)^2</f>
        <v>9.164363939935076E-2</v>
      </c>
      <c r="C1327" s="6" t="s">
        <v>16</v>
      </c>
    </row>
    <row r="1328" spans="1:3" x14ac:dyDescent="0.8">
      <c r="A1328" s="5" t="s">
        <v>74</v>
      </c>
      <c r="B1328" s="7">
        <v>1</v>
      </c>
      <c r="C1328" s="6" t="s">
        <v>293</v>
      </c>
    </row>
    <row r="1329" spans="1:14" x14ac:dyDescent="0.8">
      <c r="A1329" s="5" t="s">
        <v>76</v>
      </c>
      <c r="B1329" s="14">
        <f>B1328*B1327</f>
        <v>9.164363939935076E-2</v>
      </c>
      <c r="C1329" s="15" t="s">
        <v>120</v>
      </c>
    </row>
    <row r="1330" spans="1:14" x14ac:dyDescent="0.8">
      <c r="A1330" s="22" t="s">
        <v>29</v>
      </c>
    </row>
    <row r="1331" spans="1:14" x14ac:dyDescent="0.8">
      <c r="A1331" s="5" t="s">
        <v>19</v>
      </c>
      <c r="B1331" s="7">
        <f>B1281</f>
        <v>5.1127273840263464E-2</v>
      </c>
      <c r="C1331" s="6" t="s">
        <v>16</v>
      </c>
    </row>
    <row r="1332" spans="1:14" x14ac:dyDescent="0.8">
      <c r="A1332" s="5" t="s">
        <v>92</v>
      </c>
      <c r="B1332" s="7">
        <f>B1290</f>
        <v>1E-3</v>
      </c>
      <c r="C1332" s="6" t="s">
        <v>16</v>
      </c>
    </row>
    <row r="1333" spans="1:14" x14ac:dyDescent="0.8">
      <c r="A1333" s="5" t="s">
        <v>294</v>
      </c>
      <c r="B1333" s="7">
        <f>B1301</f>
        <v>1.924516427386366E-2</v>
      </c>
      <c r="C1333" s="6" t="s">
        <v>16</v>
      </c>
    </row>
    <row r="1334" spans="1:14" x14ac:dyDescent="0.8">
      <c r="A1334" s="5" t="s">
        <v>295</v>
      </c>
      <c r="B1334" s="7">
        <f>B1310</f>
        <v>1.0080800333928584E-2</v>
      </c>
      <c r="C1334" s="6" t="s">
        <v>16</v>
      </c>
    </row>
    <row r="1335" spans="1:14" x14ac:dyDescent="0.8">
      <c r="A1335" s="5" t="s">
        <v>92</v>
      </c>
      <c r="B1335" s="7">
        <f>B1319</f>
        <v>1E-3</v>
      </c>
      <c r="C1335" s="6" t="s">
        <v>16</v>
      </c>
    </row>
    <row r="1336" spans="1:14" x14ac:dyDescent="0.8">
      <c r="A1336" s="5" t="s">
        <v>40</v>
      </c>
      <c r="B1336" s="7">
        <f>B1329</f>
        <v>9.164363939935076E-2</v>
      </c>
      <c r="C1336" s="6" t="s">
        <v>16</v>
      </c>
    </row>
    <row r="1337" spans="1:14" x14ac:dyDescent="0.8">
      <c r="A1337" s="5" t="s">
        <v>96</v>
      </c>
      <c r="B1337" s="18">
        <f>SUM(B1331:B1336)</f>
        <v>0.17409687784740646</v>
      </c>
      <c r="C1337" s="19" t="s">
        <v>16</v>
      </c>
    </row>
    <row r="1338" spans="1:14" s="11" customFormat="1" x14ac:dyDescent="0.8">
      <c r="A1338" s="8" t="s">
        <v>296</v>
      </c>
      <c r="B1338" s="9"/>
      <c r="C1338" s="10"/>
      <c r="D1338" s="10"/>
      <c r="E1338" s="10"/>
      <c r="F1338" s="10"/>
      <c r="G1338" s="10"/>
      <c r="H1338" s="10"/>
      <c r="I1338" s="10"/>
      <c r="J1338" s="10"/>
      <c r="K1338" s="10"/>
      <c r="L1338" s="10"/>
      <c r="M1338" s="10"/>
      <c r="N1338" s="10"/>
    </row>
    <row r="1339" spans="1:14" x14ac:dyDescent="0.8">
      <c r="A1339" s="22" t="s">
        <v>281</v>
      </c>
    </row>
    <row r="1340" spans="1:14" x14ac:dyDescent="0.8">
      <c r="A1340" s="5" t="s">
        <v>6</v>
      </c>
      <c r="B1340" s="13">
        <f>3300*'[2]Design Info, Unit conversions'!D56</f>
        <v>129.92125984200001</v>
      </c>
      <c r="C1340" s="6" t="s">
        <v>282</v>
      </c>
    </row>
    <row r="1341" spans="1:14" x14ac:dyDescent="0.8">
      <c r="A1341" s="5" t="s">
        <v>8</v>
      </c>
      <c r="B1341" s="13">
        <f>700*'[2]Design Info, Unit conversions'!D56</f>
        <v>27.559055118</v>
      </c>
      <c r="C1341" s="6" t="s">
        <v>282</v>
      </c>
    </row>
    <row r="1342" spans="1:14" x14ac:dyDescent="0.8">
      <c r="A1342" s="5" t="s">
        <v>9</v>
      </c>
      <c r="B1342" s="13">
        <f>(B1341*B1340)/144</f>
        <v>24.864633062400543</v>
      </c>
      <c r="C1342" s="6" t="s">
        <v>10</v>
      </c>
    </row>
    <row r="1343" spans="1:14" x14ac:dyDescent="0.8">
      <c r="A1343" s="5" t="s">
        <v>283</v>
      </c>
      <c r="B1343" s="7">
        <v>0.1</v>
      </c>
      <c r="C1343" s="6" t="s">
        <v>282</v>
      </c>
    </row>
    <row r="1344" spans="1:14" x14ac:dyDescent="0.8">
      <c r="A1344" s="5" t="s">
        <v>11</v>
      </c>
      <c r="B1344" s="13">
        <f>B1325</f>
        <v>31261.955564262003</v>
      </c>
      <c r="C1344" s="6" t="s">
        <v>33</v>
      </c>
    </row>
    <row r="1345" spans="1:3" x14ac:dyDescent="0.8">
      <c r="A1345" s="5" t="s">
        <v>13</v>
      </c>
      <c r="B1345" s="13">
        <f>B1344/B1342</f>
        <v>1257.286020903935</v>
      </c>
      <c r="C1345" s="6" t="s">
        <v>14</v>
      </c>
    </row>
    <row r="1346" spans="1:3" x14ac:dyDescent="0.8">
      <c r="A1346" s="5" t="s">
        <v>15</v>
      </c>
      <c r="B1346" s="27">
        <f>(B1345/4005)^2</f>
        <v>9.8551475970919622E-2</v>
      </c>
      <c r="C1346" s="6" t="s">
        <v>16</v>
      </c>
    </row>
    <row r="1347" spans="1:3" x14ac:dyDescent="0.8">
      <c r="A1347" s="5" t="s">
        <v>74</v>
      </c>
      <c r="B1347" s="7">
        <v>0.56999999999999995</v>
      </c>
      <c r="C1347" s="6" t="s">
        <v>297</v>
      </c>
    </row>
    <row r="1348" spans="1:3" x14ac:dyDescent="0.8">
      <c r="A1348" s="5" t="s">
        <v>76</v>
      </c>
      <c r="B1348" s="14">
        <f>B1347*B1346</f>
        <v>5.6174341303424177E-2</v>
      </c>
      <c r="C1348" s="15" t="s">
        <v>120</v>
      </c>
    </row>
    <row r="1349" spans="1:3" x14ac:dyDescent="0.8">
      <c r="A1349" s="22" t="s">
        <v>298</v>
      </c>
      <c r="B1349" s="13"/>
      <c r="C1349" s="6"/>
    </row>
    <row r="1350" spans="1:3" x14ac:dyDescent="0.8">
      <c r="A1350" s="5" t="s">
        <v>6</v>
      </c>
      <c r="B1350" s="13">
        <f>B1340</f>
        <v>129.92125984200001</v>
      </c>
      <c r="C1350" s="6" t="s">
        <v>7</v>
      </c>
    </row>
    <row r="1351" spans="1:3" x14ac:dyDescent="0.8">
      <c r="A1351" s="5" t="s">
        <v>8</v>
      </c>
      <c r="B1351" s="13">
        <f>B1341</f>
        <v>27.559055118</v>
      </c>
      <c r="C1351" s="6" t="s">
        <v>7</v>
      </c>
    </row>
    <row r="1352" spans="1:3" x14ac:dyDescent="0.8">
      <c r="A1352" s="5" t="s">
        <v>9</v>
      </c>
      <c r="B1352" s="13">
        <f>(B1351*B1350)/144</f>
        <v>24.864633062400543</v>
      </c>
      <c r="C1352" s="6" t="s">
        <v>10</v>
      </c>
    </row>
    <row r="1353" spans="1:3" x14ac:dyDescent="0.8">
      <c r="A1353" s="5" t="s">
        <v>11</v>
      </c>
      <c r="B1353" s="13">
        <f>B1344</f>
        <v>31261.955564262003</v>
      </c>
      <c r="C1353" s="6" t="s">
        <v>72</v>
      </c>
    </row>
    <row r="1354" spans="1:3" x14ac:dyDescent="0.8">
      <c r="A1354" s="5" t="s">
        <v>13</v>
      </c>
      <c r="B1354" s="13">
        <f>B1353/B1352</f>
        <v>1257.286020903935</v>
      </c>
      <c r="C1354" s="6" t="s">
        <v>14</v>
      </c>
    </row>
    <row r="1355" spans="1:3" x14ac:dyDescent="0.8">
      <c r="A1355" s="5" t="s">
        <v>15</v>
      </c>
      <c r="B1355" s="27">
        <f>(B1354/4005)^2</f>
        <v>9.8551475970919622E-2</v>
      </c>
      <c r="C1355" s="6" t="s">
        <v>16</v>
      </c>
    </row>
    <row r="1356" spans="1:3" x14ac:dyDescent="0.8">
      <c r="A1356" s="5" t="s">
        <v>74</v>
      </c>
      <c r="B1356" s="7">
        <v>0.18</v>
      </c>
      <c r="C1356" s="6" t="s">
        <v>126</v>
      </c>
    </row>
    <row r="1357" spans="1:3" x14ac:dyDescent="0.8">
      <c r="A1357" s="5" t="s">
        <v>76</v>
      </c>
      <c r="B1357" s="37">
        <f>B1356*B1355</f>
        <v>1.7739265674765532E-2</v>
      </c>
      <c r="C1357" s="15" t="s">
        <v>120</v>
      </c>
    </row>
    <row r="1358" spans="1:3" x14ac:dyDescent="0.8">
      <c r="A1358" s="22" t="s">
        <v>290</v>
      </c>
    </row>
    <row r="1359" spans="1:3" x14ac:dyDescent="0.8">
      <c r="A1359" s="5" t="s">
        <v>6</v>
      </c>
      <c r="B1359" s="13">
        <f>B1350</f>
        <v>129.92125984200001</v>
      </c>
      <c r="C1359" s="6" t="s">
        <v>282</v>
      </c>
    </row>
    <row r="1360" spans="1:3" x14ac:dyDescent="0.8">
      <c r="A1360" s="5" t="s">
        <v>8</v>
      </c>
      <c r="B1360" s="13">
        <f>B1351</f>
        <v>27.559055118</v>
      </c>
      <c r="C1360" s="6" t="s">
        <v>282</v>
      </c>
    </row>
    <row r="1361" spans="1:14" x14ac:dyDescent="0.8">
      <c r="A1361" s="5" t="s">
        <v>9</v>
      </c>
      <c r="B1361" s="13">
        <f>(B1360*B1359)/144</f>
        <v>24.864633062400543</v>
      </c>
      <c r="C1361" s="6" t="s">
        <v>10</v>
      </c>
    </row>
    <row r="1362" spans="1:14" x14ac:dyDescent="0.8">
      <c r="A1362" s="5" t="s">
        <v>291</v>
      </c>
      <c r="B1362" s="13">
        <v>90</v>
      </c>
      <c r="C1362" s="6" t="s">
        <v>292</v>
      </c>
    </row>
    <row r="1363" spans="1:14" x14ac:dyDescent="0.8">
      <c r="A1363" s="5" t="s">
        <v>11</v>
      </c>
      <c r="B1363" s="13">
        <f>B1353</f>
        <v>31261.955564262003</v>
      </c>
      <c r="C1363" s="6" t="s">
        <v>33</v>
      </c>
    </row>
    <row r="1364" spans="1:14" x14ac:dyDescent="0.8">
      <c r="A1364" s="5" t="s">
        <v>13</v>
      </c>
      <c r="B1364" s="13">
        <f>B1363/B1361</f>
        <v>1257.286020903935</v>
      </c>
      <c r="C1364" s="6" t="s">
        <v>14</v>
      </c>
    </row>
    <row r="1365" spans="1:14" x14ac:dyDescent="0.8">
      <c r="A1365" s="5" t="s">
        <v>15</v>
      </c>
      <c r="B1365" s="27">
        <f>(B1364/4005)^2</f>
        <v>9.8551475970919622E-2</v>
      </c>
      <c r="C1365" s="6" t="s">
        <v>16</v>
      </c>
    </row>
    <row r="1366" spans="1:14" x14ac:dyDescent="0.8">
      <c r="A1366" s="5" t="s">
        <v>74</v>
      </c>
      <c r="B1366" s="7">
        <v>1</v>
      </c>
      <c r="C1366" s="6" t="s">
        <v>293</v>
      </c>
    </row>
    <row r="1367" spans="1:14" x14ac:dyDescent="0.8">
      <c r="A1367" s="5" t="s">
        <v>76</v>
      </c>
      <c r="B1367" s="14">
        <f>B1366*B1365</f>
        <v>9.8551475970919622E-2</v>
      </c>
      <c r="C1367" s="15" t="s">
        <v>120</v>
      </c>
    </row>
    <row r="1368" spans="1:14" x14ac:dyDescent="0.8">
      <c r="A1368" s="22" t="s">
        <v>29</v>
      </c>
    </row>
    <row r="1369" spans="1:14" x14ac:dyDescent="0.8">
      <c r="A1369" s="5" t="s">
        <v>19</v>
      </c>
      <c r="B1369" s="7">
        <f>B1348</f>
        <v>5.6174341303424177E-2</v>
      </c>
      <c r="C1369" s="6" t="s">
        <v>16</v>
      </c>
    </row>
    <row r="1370" spans="1:14" x14ac:dyDescent="0.8">
      <c r="A1370" s="5" t="s">
        <v>299</v>
      </c>
      <c r="B1370" s="7">
        <f>B1357</f>
        <v>1.7739265674765532E-2</v>
      </c>
      <c r="C1370" s="6" t="s">
        <v>16</v>
      </c>
    </row>
    <row r="1371" spans="1:14" x14ac:dyDescent="0.8">
      <c r="A1371" s="5" t="s">
        <v>40</v>
      </c>
      <c r="B1371" s="7">
        <f>B1367</f>
        <v>9.8551475970919622E-2</v>
      </c>
      <c r="C1371" s="6" t="s">
        <v>16</v>
      </c>
    </row>
    <row r="1372" spans="1:14" x14ac:dyDescent="0.8">
      <c r="A1372" s="5" t="s">
        <v>96</v>
      </c>
      <c r="B1372" s="18">
        <f>SUM(B1369:B1371)</f>
        <v>0.17246508294910934</v>
      </c>
      <c r="C1372" s="19" t="s">
        <v>16</v>
      </c>
    </row>
    <row r="1373" spans="1:14" s="11" customFormat="1" x14ac:dyDescent="0.8">
      <c r="A1373" s="8" t="s">
        <v>300</v>
      </c>
      <c r="B1373" s="9"/>
      <c r="C1373" s="10"/>
      <c r="D1373" s="10"/>
      <c r="E1373" s="10"/>
      <c r="F1373" s="10"/>
      <c r="G1373" s="10"/>
      <c r="H1373" s="10"/>
      <c r="I1373" s="10"/>
      <c r="J1373" s="10"/>
      <c r="K1373" s="10"/>
      <c r="L1373" s="10"/>
      <c r="M1373" s="10"/>
      <c r="N1373" s="10"/>
    </row>
    <row r="1374" spans="1:14" x14ac:dyDescent="0.8">
      <c r="A1374" s="22" t="s">
        <v>301</v>
      </c>
    </row>
    <row r="1375" spans="1:14" x14ac:dyDescent="0.8">
      <c r="A1375" s="5" t="s">
        <v>302</v>
      </c>
      <c r="B1375" s="7">
        <v>0.1</v>
      </c>
      <c r="C1375" s="6" t="s">
        <v>16</v>
      </c>
    </row>
    <row r="1376" spans="1:14" x14ac:dyDescent="0.8">
      <c r="A1376" s="22" t="s">
        <v>303</v>
      </c>
    </row>
    <row r="1377" spans="1:3" x14ac:dyDescent="0.8">
      <c r="A1377" s="5" t="s">
        <v>302</v>
      </c>
      <c r="B1377" s="7">
        <v>0.1</v>
      </c>
      <c r="C1377" s="6" t="s">
        <v>16</v>
      </c>
    </row>
    <row r="1378" spans="1:3" x14ac:dyDescent="0.8">
      <c r="A1378" s="22" t="s">
        <v>29</v>
      </c>
    </row>
    <row r="1379" spans="1:3" x14ac:dyDescent="0.8">
      <c r="A1379" s="5" t="s">
        <v>304</v>
      </c>
      <c r="B1379" s="7">
        <f>B1375</f>
        <v>0.1</v>
      </c>
      <c r="C1379" s="6" t="s">
        <v>16</v>
      </c>
    </row>
    <row r="1380" spans="1:3" x14ac:dyDescent="0.8">
      <c r="A1380" s="5" t="s">
        <v>305</v>
      </c>
      <c r="B1380" s="7">
        <f>B1377</f>
        <v>0.1</v>
      </c>
      <c r="C1380" s="6" t="s">
        <v>16</v>
      </c>
    </row>
    <row r="1381" spans="1:3" x14ac:dyDescent="0.8">
      <c r="A1381" s="5" t="s">
        <v>96</v>
      </c>
      <c r="B1381" s="18">
        <f>SUM(B1379:B1380)</f>
        <v>0.2</v>
      </c>
      <c r="C1381" s="19" t="s">
        <v>16</v>
      </c>
    </row>
  </sheetData>
  <hyperlinks>
    <hyperlink ref="E1014" r:id="rId1" xr:uid="{74D88BF1-83E3-4A22-B793-5D301545BC0F}"/>
  </hyperlinks>
  <printOptions horizontalCentered="1" verticalCentered="1"/>
  <pageMargins left="0.5" right="0.5" top="0.5" bottom="0.5" header="0.2" footer="0.2"/>
  <pageSetup scale="43" fitToHeight="2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Design Static Calcs</vt:lpstr>
      <vt:lpstr>'Design Static Calcs'!Print_Area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dcterms:created xsi:type="dcterms:W3CDTF">2018-11-13T16:24:39Z</dcterms:created>
  <dcterms:modified xsi:type="dcterms:W3CDTF">2018-11-13T16:25:20Z</dcterms:modified>
</cp:coreProperties>
</file>