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Default Extension="jpeg" ContentType="image/jpeg"/>
  <Default Extension="emf" ContentType="image/x-emf"/>
  <Override PartName="/xl/charts/chart2.xml" ContentType="application/vnd.openxmlformats-officedocument.drawingml.chart+xml"/>
  <Override PartName="/xl/charts/chart3.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drawings/drawing2.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activeX/activeX1.xml" ContentType="application/vnd.ms-office.activeX+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bookViews>
    <workbookView xWindow="11865" yWindow="-15" windowWidth="11940" windowHeight="12300" tabRatio="804"/>
  </bookViews>
  <sheets>
    <sheet name="Introduction v1.5" sheetId="28" r:id="rId1"/>
    <sheet name="System Assumptions" sheetId="22" r:id="rId2"/>
    <sheet name="Economic Assumptions" sheetId="26" r:id="rId3"/>
    <sheet name="Piping Circuit" sheetId="21" r:id="rId4"/>
    <sheet name="Constants" sheetId="6" r:id="rId5"/>
    <sheet name="Versions" sheetId="29" state="hidden" r:id="rId6"/>
  </sheets>
  <functionGroups/>
  <definedNames>
    <definedName name="BHP_TOTAL">'Piping Circuit'!$BU$9</definedName>
    <definedName name="BHP_TOTAL_W_SF">'Piping Circuit'!$BU$10</definedName>
    <definedName name="CALCED">'Piping Circuit'!$C$7:$C$8</definedName>
    <definedName name="CONST_VAR_UI">'System Assumptions'!$D$9</definedName>
    <definedName name="CV_VALVES">Constants!$I$11:$Q$31</definedName>
    <definedName name="DCFM">#REF!</definedName>
    <definedName name="DSP">#REF!</definedName>
    <definedName name="EROSION_LMT_EXCEED">'Piping Circuit'!$R$7:$R$8</definedName>
    <definedName name="EROSION_SHT">'Piping Circuit'!$Q$7:$Q$8</definedName>
    <definedName name="EROSION_UI">'System Assumptions'!$D$14</definedName>
    <definedName name="FanData">#REF!</definedName>
    <definedName name="GPM">'Piping Circuit'!$D$7:$D$8</definedName>
    <definedName name="GPM_ROUNDED">'Piping Circuit'!$E$7:$E$8</definedName>
    <definedName name="INSULATE_DEFAULT">'Piping Circuit'!$AG$100</definedName>
    <definedName name="INSULATE_NONE">'Piping Circuit'!$AG$105</definedName>
    <definedName name="INSULATE_SHT">'Piping Circuit'!$AG$7:$AG$8</definedName>
    <definedName name="INSULATE_UI">'System Assumptions'!$D$12</definedName>
    <definedName name="insulT24Formula" localSheetId="3">'Piping Circuit'!#REF!</definedName>
    <definedName name="insulT24Formula">#REF!</definedName>
    <definedName name="insulT24OnOff" localSheetId="3">'Piping Circuit'!#REF!</definedName>
    <definedName name="insulT24OnOff">#REF!</definedName>
    <definedName name="insulThickness" localSheetId="3">'Piping Circuit'!#REF!</definedName>
    <definedName name="insulThickness">#REF!</definedName>
    <definedName name="K_COPPER">Constants!$B$11:$F$19</definedName>
    <definedName name="K_STEEL">Constants!$B$24:$F$42</definedName>
    <definedName name="K_VALVES">Constants!#REF!</definedName>
    <definedName name="LAST_ROW">'Piping Circuit'!$8:$8</definedName>
    <definedName name="Make">#REF!</definedName>
    <definedName name="MHP">#REF!</definedName>
    <definedName name="MinSP">#REF!</definedName>
    <definedName name="NOISE_LMT_EXCEED">'Piping Circuit'!$L$7:$L$8</definedName>
    <definedName name="NOISE_SHT">'Piping Circuit'!$K$7:$K$8</definedName>
    <definedName name="NOISE_UI">'System Assumptions'!$D$13</definedName>
    <definedName name="OptimizedCost">'Piping Circuit'!$B$17</definedName>
    <definedName name="PIPE_ID">Constants!$U$11:$W$31</definedName>
    <definedName name="PIPE_SIZE">'Piping Circuit'!$H$7:$H$8</definedName>
    <definedName name="PIPE_SIZE_AUTO">'Piping Circuit'!$G$7:$G$8</definedName>
    <definedName name="PIPE_SIZE_OPTIONS">'Piping Circuit'!$F$101:$F$121</definedName>
    <definedName name="PIPE_SIZE_UI">'Piping Circuit'!$F$7:$F$8</definedName>
    <definedName name="PrevOptimizedCost">'Piping Circuit'!$C$17</definedName>
    <definedName name="PrevPipeSize">'Piping Circuit'!$I$7:$I$8</definedName>
    <definedName name="PRICE_COPPER">Constants!$B$57:$Z$68</definedName>
    <definedName name="PRICE_STEEL">Constants!$B$73:$Z$93</definedName>
    <definedName name="SEG_DESCRIPTION">'Piping Circuit'!$A$7:$A$8</definedName>
    <definedName name="SEG_GROUP">'Piping Circuit'!$B$7:$B$8</definedName>
    <definedName name="SEGMENT_INPUTS">'Piping Circuit'!$AI$7:$AN$8,'Piping Circuit'!$F$7:$F$8,'Piping Circuit'!$A$7:$D$8</definedName>
    <definedName name="SEGMENT_INPUTS_1">'Piping Circuit'!$AI$7:$AN$8,'Piping Circuit'!$AG$7:$AG$8,'Piping Circuit'!$Q$7:$Q$8,'Piping Circuit'!$K$7:$K$8,'Piping Circuit'!$F$7:$F$8,'Piping Circuit'!$D$7:$D$8,'Piping Circuit'!$A$7:$B$8</definedName>
    <definedName name="SEGMENT_INPUTS_2">'Piping Circuit'!$AQ$7:$AQ$8</definedName>
    <definedName name="SEGMENT_INPUTS_3">'Piping Circuit'!$AT$7:$AT$8</definedName>
    <definedName name="SEGMENT_INPUTS_4">'Piping Circuit'!$AW$7:$AW$8</definedName>
    <definedName name="SEGMENT_INPUTS_5">'Piping Circuit'!$BA$7:$BA$8</definedName>
    <definedName name="SEGMENT_INPUTS_6">'Piping Circuit'!$BD$7:$BD$8</definedName>
    <definedName name="SEGMENT_INPUTS_7">'Piping Circuit'!$BG$7:$BG$8</definedName>
    <definedName name="SEGMENT_INPUTS_8">'Piping Circuit'!$BJ$7:$BJ$8</definedName>
    <definedName name="SEGMENT_INPUTS_9">'Piping Circuit'!$BL$7:$BL$8</definedName>
    <definedName name="solver_adj" localSheetId="3" hidden="1">'Piping Circuit'!#REF!</definedName>
    <definedName name="solver_cvg" localSheetId="3" hidden="1">0.0001</definedName>
    <definedName name="solver_drv" localSheetId="3" hidden="1">1</definedName>
    <definedName name="solver_est" localSheetId="3" hidden="1">1</definedName>
    <definedName name="solver_itr" localSheetId="3" hidden="1">100</definedName>
    <definedName name="solver_lhs0" localSheetId="3" hidden="1">'Piping Circuit'!#REF!</definedName>
    <definedName name="solver_lhs1" localSheetId="3" hidden="1">'Piping Circuit'!#REF!</definedName>
    <definedName name="solver_lin" localSheetId="3" hidden="1">2</definedName>
    <definedName name="solver_neg" localSheetId="3" hidden="1">2</definedName>
    <definedName name="solver_num" localSheetId="3" hidden="1">1</definedName>
    <definedName name="solver_nwt" localSheetId="3" hidden="1">1</definedName>
    <definedName name="solver_opt" localSheetId="3" hidden="1">'Piping Circuit'!#REF!</definedName>
    <definedName name="solver_pre" localSheetId="3" hidden="1">0.000001</definedName>
    <definedName name="solver_rel0" localSheetId="3" hidden="1">2</definedName>
    <definedName name="solver_rel1" localSheetId="3" hidden="1">2</definedName>
    <definedName name="solver_rhs0" localSheetId="3" hidden="1">OR('Piping Circuit'!$F$101:$F$121)</definedName>
    <definedName name="solver_rhs1" localSheetId="3" hidden="1">OR('Piping Circuit'!$F$101:$F$121)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2</definedName>
    <definedName name="solver_val" localSheetId="3" hidden="1">0</definedName>
    <definedName name="SUM_TOTAL_COST">'Piping Circuit'!$EB$9</definedName>
    <definedName name="SYSTEM_GPM">'Piping Circuit'!$B$3</definedName>
    <definedName name="TOTAL_COST">'Piping Circuit'!$EB$7:$EB$8</definedName>
    <definedName name="Type">#REF!</definedName>
    <definedName name="USABLE_ROWS">'Piping Circuit'!$7:$8</definedName>
  </definedNames>
  <calcPr calcId="125725"/>
</workbook>
</file>

<file path=xl/calcChain.xml><?xml version="1.0" encoding="utf-8"?>
<calcChain xmlns="http://schemas.openxmlformats.org/spreadsheetml/2006/main">
  <c r="B3" i="21"/>
  <c r="D8" i="22"/>
  <c r="O7" i="21" s="1"/>
  <c r="H7"/>
  <c r="CN7" s="1"/>
  <c r="BF7" s="1"/>
  <c r="BE7" s="1"/>
  <c r="H8"/>
  <c r="S8" s="1"/>
  <c r="D10" i="22"/>
  <c r="BT7" i="21" s="1"/>
  <c r="J7"/>
  <c r="FG7"/>
  <c r="FH7"/>
  <c r="FI7"/>
  <c r="FJ7"/>
  <c r="FK7"/>
  <c r="FL7"/>
  <c r="FM7"/>
  <c r="FN7"/>
  <c r="FO7"/>
  <c r="FP7"/>
  <c r="J8"/>
  <c r="FG8"/>
  <c r="FH8"/>
  <c r="FI8"/>
  <c r="FJ8"/>
  <c r="FK8"/>
  <c r="FL8"/>
  <c r="FM8"/>
  <c r="FN8"/>
  <c r="FO8"/>
  <c r="FP8"/>
  <c r="D7" i="26"/>
  <c r="D8"/>
  <c r="H38" i="6"/>
  <c r="H39"/>
  <c r="H40"/>
  <c r="H41"/>
  <c r="H42"/>
  <c r="H43"/>
  <c r="H44"/>
  <c r="H45"/>
  <c r="H46"/>
  <c r="H47"/>
  <c r="I38"/>
  <c r="I39"/>
  <c r="I40"/>
  <c r="I41"/>
  <c r="I42"/>
  <c r="I43"/>
  <c r="I44"/>
  <c r="I45"/>
  <c r="I46"/>
  <c r="I47"/>
  <c r="C183"/>
  <c r="Y10"/>
  <c r="Y11"/>
  <c r="Y12"/>
  <c r="Y13"/>
  <c r="Y14"/>
  <c r="AA15"/>
  <c r="Y15"/>
  <c r="Z10"/>
  <c r="Z11"/>
  <c r="Z12"/>
  <c r="Z13"/>
  <c r="Z14"/>
  <c r="AB10"/>
  <c r="AB11"/>
  <c r="AB12"/>
  <c r="AB13"/>
  <c r="AB14"/>
  <c r="AB15"/>
  <c r="C134"/>
  <c r="C130"/>
  <c r="C132"/>
  <c r="C133"/>
  <c r="H130"/>
  <c r="H131"/>
  <c r="O15"/>
  <c r="C131"/>
  <c r="O14"/>
  <c r="BM8" i="21"/>
  <c r="BK8"/>
  <c r="E8"/>
  <c r="Z63" i="6"/>
  <c r="AC98"/>
  <c r="Z98"/>
  <c r="Z99"/>
  <c r="Z100"/>
  <c r="Z101"/>
  <c r="Z102"/>
  <c r="Z103"/>
  <c r="Z104"/>
  <c r="Z105"/>
  <c r="Z106"/>
  <c r="Z107"/>
  <c r="Z108"/>
  <c r="Z109"/>
  <c r="K98"/>
  <c r="L98"/>
  <c r="M98"/>
  <c r="J98"/>
  <c r="D98"/>
  <c r="E98"/>
  <c r="F98"/>
  <c r="C98"/>
  <c r="W71"/>
  <c r="S93"/>
  <c r="S92"/>
  <c r="R78"/>
  <c r="R77"/>
  <c r="R76"/>
  <c r="R75"/>
  <c r="R74"/>
  <c r="R73"/>
  <c r="N91"/>
  <c r="N92"/>
  <c r="N93"/>
  <c r="N90"/>
  <c r="M91"/>
  <c r="M92"/>
  <c r="M93"/>
  <c r="M90"/>
  <c r="N57"/>
  <c r="N73"/>
  <c r="N58"/>
  <c r="N74"/>
  <c r="M57"/>
  <c r="M73" s="1"/>
  <c r="M58"/>
  <c r="M74" s="1"/>
  <c r="O74"/>
  <c r="N68"/>
  <c r="M68"/>
  <c r="O82"/>
  <c r="O66" s="1"/>
  <c r="P82"/>
  <c r="P66"/>
  <c r="O67"/>
  <c r="P67"/>
  <c r="O68"/>
  <c r="P68"/>
  <c r="P65"/>
  <c r="O65"/>
  <c r="O73"/>
  <c r="P77"/>
  <c r="O77"/>
  <c r="O76"/>
  <c r="U90"/>
  <c r="U91"/>
  <c r="U92"/>
  <c r="U93"/>
  <c r="U89"/>
  <c r="T93"/>
  <c r="T92"/>
  <c r="O93"/>
  <c r="O92"/>
  <c r="O90"/>
  <c r="J84"/>
  <c r="J83"/>
  <c r="J82"/>
  <c r="J81"/>
  <c r="J80"/>
  <c r="J79"/>
  <c r="J78"/>
  <c r="J77"/>
  <c r="J76"/>
  <c r="J75"/>
  <c r="J74"/>
  <c r="J73"/>
  <c r="H86"/>
  <c r="H85"/>
  <c r="H83"/>
  <c r="H82"/>
  <c r="H81"/>
  <c r="H80"/>
  <c r="H79"/>
  <c r="H78"/>
  <c r="H77"/>
  <c r="H76"/>
  <c r="H75"/>
  <c r="H74"/>
  <c r="H73"/>
  <c r="F84"/>
  <c r="F83"/>
  <c r="F82"/>
  <c r="F81"/>
  <c r="F80"/>
  <c r="F79"/>
  <c r="F78"/>
  <c r="F77"/>
  <c r="F76"/>
  <c r="F75"/>
  <c r="F74"/>
  <c r="F73"/>
  <c r="D93"/>
  <c r="D92"/>
  <c r="D91"/>
  <c r="D90"/>
  <c r="D89"/>
  <c r="D88"/>
  <c r="D87"/>
  <c r="D86"/>
  <c r="D85"/>
  <c r="D84"/>
  <c r="D83"/>
  <c r="D82"/>
  <c r="D81"/>
  <c r="D80"/>
  <c r="D79"/>
  <c r="D78"/>
  <c r="D77"/>
  <c r="D76"/>
  <c r="D75"/>
  <c r="J93"/>
  <c r="J92"/>
  <c r="J91"/>
  <c r="J90"/>
  <c r="J89"/>
  <c r="J88"/>
  <c r="J87"/>
  <c r="J86"/>
  <c r="J85"/>
  <c r="H93"/>
  <c r="H92"/>
  <c r="H91"/>
  <c r="H90"/>
  <c r="H89"/>
  <c r="H88"/>
  <c r="H87"/>
  <c r="F91"/>
  <c r="F90"/>
  <c r="F89"/>
  <c r="F88"/>
  <c r="F87"/>
  <c r="F86"/>
  <c r="F85"/>
  <c r="AC99"/>
  <c r="AC100"/>
  <c r="AC101"/>
  <c r="AC102"/>
  <c r="AC103"/>
  <c r="AC104"/>
  <c r="AC105"/>
  <c r="AC106"/>
  <c r="AC107"/>
  <c r="AC108"/>
  <c r="AC109"/>
  <c r="AC110"/>
  <c r="AC111"/>
  <c r="AC112"/>
  <c r="AC113"/>
  <c r="AC114"/>
  <c r="AC115"/>
  <c r="AC116"/>
  <c r="AC117"/>
  <c r="AC118"/>
  <c r="AC119"/>
  <c r="Y74"/>
  <c r="Y75"/>
  <c r="Y76"/>
  <c r="Y77"/>
  <c r="Y78"/>
  <c r="Y79"/>
  <c r="Y80"/>
  <c r="Y81"/>
  <c r="Y82"/>
  <c r="Y83"/>
  <c r="Y84"/>
  <c r="Y73"/>
  <c r="W79"/>
  <c r="X79"/>
  <c r="W80"/>
  <c r="X80"/>
  <c r="W81"/>
  <c r="X81"/>
  <c r="W82"/>
  <c r="X82"/>
  <c r="W83"/>
  <c r="X83"/>
  <c r="W84"/>
  <c r="X84"/>
  <c r="X78"/>
  <c r="W78"/>
  <c r="O71"/>
  <c r="P90"/>
  <c r="J106"/>
  <c r="K118" s="1"/>
  <c r="J107"/>
  <c r="J108"/>
  <c r="J109"/>
  <c r="J110"/>
  <c r="J111"/>
  <c r="J112"/>
  <c r="J113"/>
  <c r="J114"/>
  <c r="J115"/>
  <c r="J116"/>
  <c r="J117"/>
  <c r="L119"/>
  <c r="M119"/>
  <c r="M118"/>
  <c r="L118"/>
  <c r="J118"/>
  <c r="J119"/>
  <c r="C110"/>
  <c r="C111"/>
  <c r="C112"/>
  <c r="C113"/>
  <c r="C114"/>
  <c r="C115"/>
  <c r="C116"/>
  <c r="C117"/>
  <c r="C118"/>
  <c r="C119"/>
  <c r="E119"/>
  <c r="F119"/>
  <c r="F118"/>
  <c r="E118"/>
  <c r="D119"/>
  <c r="D118"/>
  <c r="C107"/>
  <c r="C108"/>
  <c r="C109"/>
  <c r="C106"/>
  <c r="AH119"/>
  <c r="AH120" s="1"/>
  <c r="AE99"/>
  <c r="AE100"/>
  <c r="AE101"/>
  <c r="AE102"/>
  <c r="AE103"/>
  <c r="AE104"/>
  <c r="AE105"/>
  <c r="AE106"/>
  <c r="AE107"/>
  <c r="AE108"/>
  <c r="AE109"/>
  <c r="AE110"/>
  <c r="AF99"/>
  <c r="AG99"/>
  <c r="AH99"/>
  <c r="AI99"/>
  <c r="AF100"/>
  <c r="AG100"/>
  <c r="AH100"/>
  <c r="AI100"/>
  <c r="AF101"/>
  <c r="AG101"/>
  <c r="AH101"/>
  <c r="AI101"/>
  <c r="AF102"/>
  <c r="AG102"/>
  <c r="AH102"/>
  <c r="AI102"/>
  <c r="AF103"/>
  <c r="AG103"/>
  <c r="AH103"/>
  <c r="AI103"/>
  <c r="AF104"/>
  <c r="AG104"/>
  <c r="AH104"/>
  <c r="AI104"/>
  <c r="AF105"/>
  <c r="AG105"/>
  <c r="AH105"/>
  <c r="AI105"/>
  <c r="AF106"/>
  <c r="AG106"/>
  <c r="AH106"/>
  <c r="AI106"/>
  <c r="AF107"/>
  <c r="AG107"/>
  <c r="AH107"/>
  <c r="AI107"/>
  <c r="AF108"/>
  <c r="AG108"/>
  <c r="AH108"/>
  <c r="AI108"/>
  <c r="AF109"/>
  <c r="AG109"/>
  <c r="AH109"/>
  <c r="AI109"/>
  <c r="AF110"/>
  <c r="AG110"/>
  <c r="AH110"/>
  <c r="AI110"/>
  <c r="AF112"/>
  <c r="AG112"/>
  <c r="AH112"/>
  <c r="AI112"/>
  <c r="AF113"/>
  <c r="AG113"/>
  <c r="AH113"/>
  <c r="AI113"/>
  <c r="AF114"/>
  <c r="AG114"/>
  <c r="AH114"/>
  <c r="AI114"/>
  <c r="AF115"/>
  <c r="AG115"/>
  <c r="AH115"/>
  <c r="AI115"/>
  <c r="AF116"/>
  <c r="AG116"/>
  <c r="AH116"/>
  <c r="AI116"/>
  <c r="AF117"/>
  <c r="AG117"/>
  <c r="AH117"/>
  <c r="AI117"/>
  <c r="AF118"/>
  <c r="AG118"/>
  <c r="AH118"/>
  <c r="AI118"/>
  <c r="AF119"/>
  <c r="AG119"/>
  <c r="AI119"/>
  <c r="AI120"/>
  <c r="AI111"/>
  <c r="AH111"/>
  <c r="AG111"/>
  <c r="AF111"/>
  <c r="Z110"/>
  <c r="Z111"/>
  <c r="Z112"/>
  <c r="Z113"/>
  <c r="Z114"/>
  <c r="Z115"/>
  <c r="Z116"/>
  <c r="Z117"/>
  <c r="Z118"/>
  <c r="Z119"/>
  <c r="C147"/>
  <c r="C146"/>
  <c r="D146" s="1"/>
  <c r="C145"/>
  <c r="C144"/>
  <c r="C143"/>
  <c r="C142"/>
  <c r="C141"/>
  <c r="C140"/>
  <c r="C139"/>
  <c r="C138"/>
  <c r="D138" s="1"/>
  <c r="C137"/>
  <c r="C136"/>
  <c r="C135"/>
  <c r="C129"/>
  <c r="C128"/>
  <c r="C127"/>
  <c r="C186"/>
  <c r="AF120"/>
  <c r="AG120"/>
  <c r="C195"/>
  <c r="C194"/>
  <c r="C193"/>
  <c r="C192"/>
  <c r="C191"/>
  <c r="C190"/>
  <c r="C189"/>
  <c r="C188"/>
  <c r="C187"/>
  <c r="C185"/>
  <c r="C184"/>
  <c r="I34" i="26"/>
  <c r="AE112" i="6"/>
  <c r="AE113"/>
  <c r="AE114"/>
  <c r="AE115"/>
  <c r="AE116"/>
  <c r="AE117"/>
  <c r="AE118"/>
  <c r="AE119"/>
  <c r="AE120"/>
  <c r="AE111"/>
  <c r="O31"/>
  <c r="O30"/>
  <c r="O29"/>
  <c r="O28"/>
  <c r="O27"/>
  <c r="O26"/>
  <c r="O25"/>
  <c r="O13"/>
  <c r="O12"/>
  <c r="O11"/>
  <c r="I29" i="26"/>
  <c r="I30"/>
  <c r="I31"/>
  <c r="I32"/>
  <c r="I33"/>
  <c r="I27"/>
  <c r="I28"/>
  <c r="I26"/>
  <c r="BK7" i="21"/>
  <c r="BM7"/>
  <c r="E7"/>
  <c r="B129" i="6"/>
  <c r="L85"/>
  <c r="Z85"/>
  <c r="B139"/>
  <c r="L84"/>
  <c r="Z84" s="1"/>
  <c r="B138"/>
  <c r="Z81"/>
  <c r="B135"/>
  <c r="Z80"/>
  <c r="B134"/>
  <c r="B132"/>
  <c r="Z62"/>
  <c r="B137"/>
  <c r="B131"/>
  <c r="B140"/>
  <c r="B141"/>
  <c r="B147"/>
  <c r="B146"/>
  <c r="B145"/>
  <c r="B144"/>
  <c r="B143"/>
  <c r="B142"/>
  <c r="B136"/>
  <c r="B133"/>
  <c r="B130"/>
  <c r="B128"/>
  <c r="B127"/>
  <c r="V90"/>
  <c r="V91"/>
  <c r="V92"/>
  <c r="V93"/>
  <c r="V89"/>
  <c r="S55"/>
  <c r="O55"/>
  <c r="P73"/>
  <c r="P93" s="1"/>
  <c r="P74"/>
  <c r="P92" s="1"/>
  <c r="P76"/>
  <c r="W55"/>
  <c r="Y71"/>
  <c r="Y55"/>
  <c r="Z73"/>
  <c r="Z87" s="1"/>
  <c r="Z74"/>
  <c r="Z75"/>
  <c r="Z76"/>
  <c r="Z77"/>
  <c r="Z78"/>
  <c r="Z79"/>
  <c r="L82"/>
  <c r="Z82"/>
  <c r="L83"/>
  <c r="Z83" s="1"/>
  <c r="L86"/>
  <c r="Z86" s="1"/>
  <c r="L68"/>
  <c r="Z68" s="1"/>
  <c r="L67"/>
  <c r="Z67"/>
  <c r="L66"/>
  <c r="Z66" s="1"/>
  <c r="AQ6" i="21"/>
  <c r="DP6"/>
  <c r="DQ6"/>
  <c r="DR6"/>
  <c r="DO6"/>
  <c r="Z65" i="6"/>
  <c r="Z64"/>
  <c r="AT6" i="21"/>
  <c r="AN6"/>
  <c r="AL6"/>
  <c r="AM6"/>
  <c r="CI6"/>
  <c r="CJ6"/>
  <c r="CK6"/>
  <c r="CM6"/>
  <c r="BA6" s="1"/>
  <c r="CN6"/>
  <c r="BD6" s="1"/>
  <c r="CY6"/>
  <c r="CZ6"/>
  <c r="DA6"/>
  <c r="DC6"/>
  <c r="DD6"/>
  <c r="DE6"/>
  <c r="DL6"/>
  <c r="DM6"/>
  <c r="DN6"/>
  <c r="F101"/>
  <c r="F102"/>
  <c r="F103"/>
  <c r="F104"/>
  <c r="F105"/>
  <c r="F106"/>
  <c r="F107"/>
  <c r="F108"/>
  <c r="F109"/>
  <c r="F110"/>
  <c r="F111"/>
  <c r="F112"/>
  <c r="F113"/>
  <c r="F114"/>
  <c r="F115"/>
  <c r="F116"/>
  <c r="F117"/>
  <c r="F118"/>
  <c r="F119"/>
  <c r="F120"/>
  <c r="F121"/>
  <c r="Z57" i="6"/>
  <c r="Z58"/>
  <c r="Z59"/>
  <c r="Z60"/>
  <c r="Z61"/>
  <c r="U71"/>
  <c r="S71"/>
  <c r="Q71"/>
  <c r="M71"/>
  <c r="K71"/>
  <c r="U55"/>
  <c r="Q55"/>
  <c r="M55"/>
  <c r="K55"/>
  <c r="BT8" i="21"/>
  <c r="D131" i="6"/>
  <c r="D130"/>
  <c r="D132"/>
  <c r="D134"/>
  <c r="D147"/>
  <c r="D145"/>
  <c r="D144"/>
  <c r="D143"/>
  <c r="D142"/>
  <c r="D141"/>
  <c r="D140"/>
  <c r="D139"/>
  <c r="D137"/>
  <c r="D136"/>
  <c r="D135"/>
  <c r="D133"/>
  <c r="D129"/>
  <c r="D128"/>
  <c r="D127"/>
  <c r="Z15"/>
  <c r="BZ8" i="21"/>
  <c r="BZ7"/>
  <c r="CJ8" l="1"/>
  <c r="AS8" s="1"/>
  <c r="AR8" s="1"/>
  <c r="AZ8"/>
  <c r="CL8" s="1"/>
  <c r="AY8" s="1"/>
  <c r="AX8" s="1"/>
  <c r="CN8"/>
  <c r="BF8" s="1"/>
  <c r="BE8" s="1"/>
  <c r="CM8"/>
  <c r="BC8" s="1"/>
  <c r="BB8" s="1"/>
  <c r="AZ7"/>
  <c r="CL7" s="1"/>
  <c r="AY7" s="1"/>
  <c r="AX7" s="1"/>
  <c r="S7"/>
  <c r="DG7" s="1"/>
  <c r="CM7"/>
  <c r="BC7" s="1"/>
  <c r="BB7" s="1"/>
  <c r="CK8"/>
  <c r="CJ7"/>
  <c r="AS7" s="1"/>
  <c r="AR7" s="1"/>
  <c r="CB8"/>
  <c r="CB7"/>
  <c r="Z89" i="6"/>
  <c r="Z91"/>
  <c r="Z90"/>
  <c r="F181"/>
  <c r="Z88"/>
  <c r="K119"/>
  <c r="O8" i="21"/>
  <c r="N8" s="1"/>
  <c r="N7"/>
  <c r="AH7"/>
  <c r="CU7" s="1"/>
  <c r="M7"/>
  <c r="CO8"/>
  <c r="BI8" s="1"/>
  <c r="BH8" s="1"/>
  <c r="DA8"/>
  <c r="CX8"/>
  <c r="DI8"/>
  <c r="CW8"/>
  <c r="CF8"/>
  <c r="CY8"/>
  <c r="DM8"/>
  <c r="DL8"/>
  <c r="DE8"/>
  <c r="CV8"/>
  <c r="CD8"/>
  <c r="DD8"/>
  <c r="DR8"/>
  <c r="DC8"/>
  <c r="DQ8"/>
  <c r="U8"/>
  <c r="DP8"/>
  <c r="CG8"/>
  <c r="CE8"/>
  <c r="DK8"/>
  <c r="DJ8"/>
  <c r="DG8"/>
  <c r="CT8"/>
  <c r="T8"/>
  <c r="CI8"/>
  <c r="DN8"/>
  <c r="CZ8"/>
  <c r="CO7"/>
  <c r="BI7" s="1"/>
  <c r="BH7" s="1"/>
  <c r="CK7"/>
  <c r="AV7"/>
  <c r="AU7" s="1"/>
  <c r="DN7"/>
  <c r="DA7"/>
  <c r="DP7"/>
  <c r="DC7"/>
  <c r="DQ7"/>
  <c r="DD7"/>
  <c r="DR7"/>
  <c r="DE7"/>
  <c r="DL7"/>
  <c r="CY7"/>
  <c r="CI7"/>
  <c r="DO7" l="1"/>
  <c r="DB8"/>
  <c r="DB7"/>
  <c r="CE7"/>
  <c r="CF7"/>
  <c r="DK7"/>
  <c r="CD7"/>
  <c r="CX7"/>
  <c r="DM7"/>
  <c r="CT7"/>
  <c r="DJ7"/>
  <c r="CW7"/>
  <c r="U7"/>
  <c r="BS7" s="1"/>
  <c r="CZ7"/>
  <c r="CV7"/>
  <c r="DI7"/>
  <c r="CG7"/>
  <c r="CH7" s="1"/>
  <c r="T7"/>
  <c r="P7"/>
  <c r="M8"/>
  <c r="P8" s="1"/>
  <c r="AH8"/>
  <c r="CU8" s="1"/>
  <c r="DH7"/>
  <c r="DO8"/>
  <c r="AV8"/>
  <c r="AU8" s="1"/>
  <c r="CH8"/>
  <c r="BS8"/>
  <c r="BQ8"/>
  <c r="CQ8"/>
  <c r="AP8"/>
  <c r="AO8" s="1"/>
  <c r="Z8"/>
  <c r="AB8" s="1"/>
  <c r="AP7"/>
  <c r="AO7" s="1"/>
  <c r="CQ7"/>
  <c r="DV8" l="1"/>
  <c r="DW8" s="1"/>
  <c r="BQ7"/>
  <c r="Y7" s="1"/>
  <c r="DV7"/>
  <c r="DW7" s="1"/>
  <c r="DX7"/>
  <c r="BS9"/>
  <c r="Z7"/>
  <c r="AB7" s="1"/>
  <c r="CP8"/>
  <c r="DH8"/>
  <c r="DX8" s="1"/>
  <c r="Y8"/>
  <c r="X8" s="1"/>
  <c r="L8"/>
  <c r="R8"/>
  <c r="DY8" l="1"/>
  <c r="DZ8" s="1"/>
  <c r="CP7"/>
  <c r="X7"/>
  <c r="W7" s="1"/>
  <c r="AD7"/>
  <c r="R7"/>
  <c r="DY7"/>
  <c r="DZ7" s="1"/>
  <c r="L7"/>
  <c r="AC7"/>
  <c r="AE7" s="1"/>
  <c r="BR7" s="1"/>
  <c r="AC8"/>
  <c r="AD8"/>
  <c r="V8"/>
  <c r="W8"/>
  <c r="V7" l="1"/>
  <c r="AA7" s="1"/>
  <c r="AF7" s="1"/>
  <c r="BO7"/>
  <c r="BU7" s="1"/>
  <c r="BX7" s="1"/>
  <c r="AA8"/>
  <c r="AF8" s="1"/>
  <c r="AE8"/>
  <c r="BR8" s="1"/>
  <c r="BO8" s="1"/>
  <c r="BU8" s="1"/>
  <c r="BW8" s="1"/>
  <c r="BW7" l="1"/>
  <c r="BP7"/>
  <c r="BX8"/>
  <c r="BU9"/>
  <c r="AA120" i="6" s="1"/>
  <c r="BP8" i="21"/>
  <c r="BO9"/>
  <c r="BP9" s="1"/>
  <c r="F199" i="6" l="1"/>
  <c r="BV7" i="21" s="1"/>
  <c r="BY7" s="1"/>
  <c r="CA7" s="1"/>
  <c r="AB120" i="6"/>
  <c r="AC120" s="1"/>
  <c r="Y120"/>
  <c r="X120"/>
  <c r="BO10" i="21"/>
  <c r="BO11" s="1"/>
  <c r="B14" s="1"/>
  <c r="B13"/>
  <c r="BV8" l="1"/>
  <c r="BY8" s="1"/>
  <c r="CA8" s="1"/>
  <c r="EH8" s="1"/>
  <c r="Z120" i="6"/>
  <c r="BU10" i="21"/>
  <c r="DT9" s="1"/>
  <c r="EQ7"/>
  <c r="EL7"/>
  <c r="FC7"/>
  <c r="FE7"/>
  <c r="ED7"/>
  <c r="EU7"/>
  <c r="EW7"/>
  <c r="EG7"/>
  <c r="EK7"/>
  <c r="FB7"/>
  <c r="EZ7"/>
  <c r="EN7"/>
  <c r="EV7"/>
  <c r="EH7"/>
  <c r="EJ7"/>
  <c r="EF7"/>
  <c r="EY7"/>
  <c r="ES7"/>
  <c r="ER7"/>
  <c r="EC7"/>
  <c r="EE7"/>
  <c r="EX7"/>
  <c r="EI7"/>
  <c r="EM7"/>
  <c r="FA7"/>
  <c r="EP7"/>
  <c r="FF7"/>
  <c r="FD7"/>
  <c r="EO7"/>
  <c r="ET7"/>
  <c r="EX8" l="1"/>
  <c r="EK8"/>
  <c r="EV8"/>
  <c r="FF8"/>
  <c r="EI8"/>
  <c r="FA8"/>
  <c r="EM8"/>
  <c r="EU8"/>
  <c r="EF8"/>
  <c r="ED8"/>
  <c r="EP8"/>
  <c r="EO8"/>
  <c r="EQ8"/>
  <c r="EE8"/>
  <c r="EJ8"/>
  <c r="ER8"/>
  <c r="FC8"/>
  <c r="EY8"/>
  <c r="EW8"/>
  <c r="EG8"/>
  <c r="ET8"/>
  <c r="EL8"/>
  <c r="EZ8"/>
  <c r="FE8"/>
  <c r="FD8"/>
  <c r="ES8"/>
  <c r="EN8"/>
  <c r="FB8"/>
  <c r="EC8"/>
  <c r="CR9"/>
  <c r="CS9"/>
  <c r="DS9"/>
  <c r="DX9" s="1"/>
  <c r="EA7"/>
  <c r="EA8" l="1"/>
  <c r="EB8" s="1"/>
  <c r="DV9"/>
  <c r="DW9" s="1"/>
  <c r="EB7"/>
  <c r="DY9" l="1"/>
  <c r="DZ9" s="1"/>
  <c r="B18" s="1"/>
  <c r="EA9"/>
  <c r="B20" s="1"/>
  <c r="EB9" l="1"/>
  <c r="B17"/>
  <c r="B16" s="1"/>
</calcChain>
</file>

<file path=xl/comments1.xml><?xml version="1.0" encoding="utf-8"?>
<comments xmlns="http://schemas.openxmlformats.org/spreadsheetml/2006/main">
  <authors>
    <author>Molly McGuire</author>
  </authors>
  <commentList>
    <comment ref="C8" authorId="0">
      <text>
        <r>
          <rPr>
            <sz val="8"/>
            <color indexed="81"/>
            <rFont val="Tahoma"/>
            <family val="2"/>
          </rPr>
          <t>Default temperatures for CHW, HW, and CW may be changed on the 'Constants' tab.</t>
        </r>
      </text>
    </comment>
    <comment ref="C9" authorId="0">
      <text>
        <r>
          <rPr>
            <sz val="8"/>
            <color indexed="81"/>
            <rFont val="Tahoma"/>
            <family val="2"/>
          </rPr>
          <t>CFCS: Contstant Flow/ Constant Speed
VFCS: Variable Flow/ Constant Speed
VFVSFSP: Variable Flow/ Variable Speed with Fixed Set Point
VFVSRSP: Variable Flow/ Variable Speed with Reset Set Point
Variable flow selections will reduce annual energy consumption according to the factors specified on the 'Constants' tab.</t>
        </r>
      </text>
    </comment>
    <comment ref="C12" authorId="0">
      <text>
        <r>
          <rPr>
            <sz val="8"/>
            <color indexed="81"/>
            <rFont val="Tahoma"/>
            <family val="2"/>
          </rPr>
          <t>Applying changes for this field will overwrite all existing insulation choices.
User will have the option to adjust this input for individual circuit segments.
Choosing "Title 24" option will automatically select the insulation thickness required by Title 24 code based on water temperature and pipe diameter.</t>
        </r>
      </text>
    </comment>
    <comment ref="C13" authorId="0">
      <text>
        <r>
          <rPr>
            <sz val="8"/>
            <color indexed="81"/>
            <rFont val="Tahoma"/>
            <family val="2"/>
          </rPr>
          <t xml:space="preserve">If noise is a concern, velocities may be limited to minimize noise caused by turbulence. If YES is selected and pipe size is chosen as AUTO, then the automated pipe sizing function will not allow the noise velocity limit to be exceeded. If YES is selected and pipe size is chosen manually, then a red-flagged cell will indicate when the maximum noise velocity is exceeded for a particular pipe segment. These limits (starting at 3 fps for ¾” pipe and increasing linearly to 20 fps for 30” pipe ) are given on the Constants tab and can be edited there. 
Once a selection is made, the Apply button next to the input must be clicked. This will overwrite all inputs in the Flow Speed Limit to Prevent Noise? column on the Piping Circuit page. After clicking Apply, further modifications to this column for individual segments may be made. However, these modifications will be overwritten if the Apply button is clicked again.
</t>
        </r>
      </text>
    </comment>
    <comment ref="C14" authorId="0">
      <text>
        <r>
          <rPr>
            <sz val="8"/>
            <color indexed="81"/>
            <rFont val="Tahoma"/>
            <family val="2"/>
          </rPr>
          <t xml:space="preserve">If pipe wall erosion is a concern, velocities may be limited to reduce the risk of erosion. If YES is selected and pipe size is chosen as AUTO, then the automated pipe sizing function will not allow the erosion velocity limit to be exceeded. If YES is selected and pipe size is chosen manually, then a red-flagged cell will indicate when the maximium erosion velocity is exceeded. Velocity limits are given on the Constants tab. While these and similar maximum velocity guidelines have been around for years, they have never been corroborated by research. In fact, most of the research on this issue has indicated that unless there are particles or air bubbles in the water, there is little erosion of piping regardless of velocity, within the normal velocity ranges found in commercial systems.
Once a selection is made, the Apply button next to the input must be clicked. This will overwrite all inputs in the Flow Speed Limit to Prevent Erosion? column on the Piping Circuit page. After clicking Apply, further modifications to this column for individual segments may be made. However, these modifications will be overwritten if the Apply button is clicked again.
</t>
        </r>
      </text>
    </comment>
  </commentList>
</comments>
</file>

<file path=xl/comments2.xml><?xml version="1.0" encoding="utf-8"?>
<comments xmlns="http://schemas.openxmlformats.org/spreadsheetml/2006/main">
  <authors>
    <author>Molly McGuire</author>
  </authors>
  <commentList>
    <comment ref="C5" authorId="0">
      <text>
        <r>
          <rPr>
            <sz val="8"/>
            <color indexed="81"/>
            <rFont val="Tahoma"/>
            <family val="2"/>
          </rPr>
          <t>This index adjusts the materials and labor costs to account for local market conditions.</t>
        </r>
      </text>
    </comment>
    <comment ref="C12" authorId="0">
      <text>
        <r>
          <rPr>
            <b/>
            <sz val="8"/>
            <color indexed="81"/>
            <rFont val="Tahoma"/>
            <family val="2"/>
          </rPr>
          <t>Molly McGuire:</t>
        </r>
        <r>
          <rPr>
            <sz val="8"/>
            <color indexed="81"/>
            <rFont val="Tahoma"/>
            <family val="2"/>
          </rPr>
          <t xml:space="preserve">
Cost data are taken from R.S. Means Mechanical Cost Data. Input the current year (or year of the project) here to allow labor and materials costs to be escalated to present values. Input must be greater than or equal to the input in </t>
        </r>
        <r>
          <rPr>
            <i/>
            <sz val="8"/>
            <color indexed="81"/>
            <rFont val="Tahoma"/>
            <family val="2"/>
          </rPr>
          <t xml:space="preserve">Means Mechanical Cost Data year </t>
        </r>
        <r>
          <rPr>
            <sz val="8"/>
            <color indexed="81"/>
            <rFont val="Tahoma"/>
            <family val="2"/>
          </rPr>
          <t xml:space="preserve"> (below).</t>
        </r>
      </text>
    </comment>
    <comment ref="C14" authorId="0">
      <text>
        <r>
          <rPr>
            <b/>
            <sz val="8"/>
            <color indexed="81"/>
            <rFont val="Tahoma"/>
            <family val="2"/>
          </rPr>
          <t>Molly McGuire:</t>
        </r>
        <r>
          <rPr>
            <sz val="8"/>
            <color indexed="81"/>
            <rFont val="Tahoma"/>
            <family val="2"/>
          </rPr>
          <t xml:space="preserve">
This is the average percentage increase of first costs per year between the year input in </t>
        </r>
        <r>
          <rPr>
            <i/>
            <sz val="8"/>
            <color indexed="81"/>
            <rFont val="Tahoma"/>
            <family val="2"/>
          </rPr>
          <t>Means Mechanical Cost Data year</t>
        </r>
        <r>
          <rPr>
            <sz val="8"/>
            <color indexed="81"/>
            <rFont val="Tahoma"/>
            <family val="2"/>
          </rPr>
          <t xml:space="preserve"> and the year input in </t>
        </r>
        <r>
          <rPr>
            <i/>
            <sz val="8"/>
            <color indexed="81"/>
            <rFont val="Tahoma"/>
            <family val="2"/>
          </rPr>
          <t>Current year.</t>
        </r>
        <r>
          <rPr>
            <sz val="8"/>
            <color indexed="81"/>
            <rFont val="Tahoma"/>
            <family val="2"/>
          </rPr>
          <t xml:space="preserve">This value is used only if  </t>
        </r>
        <r>
          <rPr>
            <i/>
            <sz val="8"/>
            <color indexed="81"/>
            <rFont val="Tahoma"/>
            <family val="2"/>
          </rPr>
          <t xml:space="preserve">Current year </t>
        </r>
        <r>
          <rPr>
            <sz val="8"/>
            <color indexed="81"/>
            <rFont val="Tahoma"/>
            <family val="2"/>
          </rPr>
          <t xml:space="preserve">is greater than </t>
        </r>
        <r>
          <rPr>
            <i/>
            <sz val="8"/>
            <color indexed="81"/>
            <rFont val="Tahoma"/>
            <family val="2"/>
          </rPr>
          <t>Means Mechanical Cost Data year</t>
        </r>
        <r>
          <rPr>
            <sz val="8"/>
            <color indexed="81"/>
            <rFont val="Tahoma"/>
            <family val="2"/>
          </rPr>
          <t>.</t>
        </r>
      </text>
    </comment>
    <comment ref="C20" authorId="0">
      <text>
        <r>
          <rPr>
            <sz val="8"/>
            <color indexed="81"/>
            <rFont val="Tahoma"/>
            <family val="2"/>
          </rPr>
          <t>This rate is used in the calculation of the present value of energy rates</t>
        </r>
      </text>
    </comment>
    <comment ref="C21" authorId="0">
      <text>
        <r>
          <rPr>
            <sz val="8"/>
            <color indexed="81"/>
            <rFont val="Tahoma"/>
            <family val="2"/>
          </rPr>
          <t>This time period is used to calculate total energy cost over the lifetime of the system</t>
        </r>
      </text>
    </comment>
  </commentList>
</comments>
</file>

<file path=xl/comments3.xml><?xml version="1.0" encoding="utf-8"?>
<comments xmlns="http://schemas.openxmlformats.org/spreadsheetml/2006/main">
  <authors>
    <author>Molly McGuire</author>
    <author>Molly Mcguire</author>
    <author>Steve Taylor</author>
    <author>tracy</author>
  </authors>
  <commentList>
    <comment ref="A3" authorId="0">
      <text>
        <r>
          <rPr>
            <sz val="8"/>
            <color indexed="81"/>
            <rFont val="Tahoma"/>
            <family val="2"/>
          </rPr>
          <t>Default value is maximum GPM listed below. User may override.</t>
        </r>
      </text>
    </comment>
    <comment ref="H3" authorId="1">
      <text>
        <r>
          <rPr>
            <sz val="8"/>
            <color indexed="81"/>
            <rFont val="Tahoma"/>
            <family val="2"/>
          </rPr>
          <t>The critical circuit is the circuit in the system with the highest pressure drop, and is the circuit that determines the  pump head. When "NON-CRITICAL" is selected, the spreadsheet will optimize pipe size based only on first cost and will not take into account lifecycle (energy) cost.
If "NON-CRITICAL" is selected, pipe size will be reduced to the smallest size possible without violating specified noise and erosion limits. If no noise or erosion limits are indicated, then optimized pipe size will be the smallest available pipe size (1/2").
Note that if the total  head of a non-critical circuit exceeds the total head of the critical circuit, it then becomes the critical circuit.  So care must be taken when sizing non-critical circuits to ensure their head is below the critical circuit head.</t>
        </r>
      </text>
    </comment>
    <comment ref="B5" authorId="0">
      <text>
        <r>
          <rPr>
            <sz val="8"/>
            <color indexed="81"/>
            <rFont val="Tahoma"/>
            <family val="2"/>
          </rPr>
          <t>This function allows pipes with similar flows to be optimized together so that pipes with similar flows will have the same size. Click the "Auto Group" button for Excel to create groups for all entered segments. Excel will place pipes with the same flow rates into the same group. To overwrite the auto grouping, simply type a new group number into the cell.
For pipes with the same group number to be optimized as a group, each segment must have the "AUTO" pipe size selection option selected.
Note: The "Auto Group" button will overwrite all existing groupings.</t>
        </r>
      </text>
    </comment>
    <comment ref="F5" authorId="0">
      <text>
        <r>
          <rPr>
            <sz val="8"/>
            <color indexed="81"/>
            <rFont val="Tahoma"/>
            <family val="2"/>
          </rPr>
          <t>Selecting "AUTO" in this column will allow this pipe segment to be optimized when the "Optimize Pipe Size" button is clicked. Selecting a pipe size manually will lock in that pipe size, and that segment will not be affected when "Optimize Pipe Size" is clicked.</t>
        </r>
        <r>
          <rPr>
            <sz val="8"/>
            <color indexed="81"/>
            <rFont val="Tahoma"/>
            <family val="2"/>
          </rPr>
          <t xml:space="preserve">
</t>
        </r>
      </text>
    </comment>
    <comment ref="G5" authorId="0">
      <text>
        <r>
          <rPr>
            <sz val="8"/>
            <color indexed="81"/>
            <rFont val="Tahoma"/>
            <family val="2"/>
          </rPr>
          <t>This is the auto-generated pipe size, optimized for first  and lifecycle costs</t>
        </r>
      </text>
    </comment>
    <comment ref="K5" authorId="0">
      <text>
        <r>
          <rPr>
            <sz val="8"/>
            <color indexed="81"/>
            <rFont val="Tahoma"/>
            <family val="2"/>
          </rPr>
          <t>Turning this function on will limit flow speed in order to prevent noise.
A change to the speed limit for noise input on the "Settings" sheet will override all inputs in this column</t>
        </r>
      </text>
    </comment>
    <comment ref="Q5" authorId="0">
      <text>
        <r>
          <rPr>
            <sz val="8"/>
            <color indexed="81"/>
            <rFont val="Tahoma"/>
            <family val="2"/>
          </rPr>
          <t>Turning this function on will limit flow speed in order to prevent erosion.
A change to the speed limit for erosion input on the "Settings" sheet will override all inputs in this column</t>
        </r>
      </text>
    </comment>
    <comment ref="AE5" authorId="0">
      <text>
        <r>
          <rPr>
            <b/>
            <sz val="8"/>
            <color indexed="81"/>
            <rFont val="Tahoma"/>
            <family val="2"/>
          </rPr>
          <t>Molly McGuire:</t>
        </r>
        <r>
          <rPr>
            <sz val="8"/>
            <color indexed="81"/>
            <rFont val="Tahoma"/>
            <family val="2"/>
          </rPr>
          <t xml:space="preserve">
This equation and those for "A" and "B" in the preceeding columns are taken from AHSRAE Fundamentals 2.7</t>
        </r>
      </text>
    </comment>
    <comment ref="AG5" authorId="0">
      <text>
        <r>
          <rPr>
            <sz val="8"/>
            <color indexed="81"/>
            <rFont val="Tahoma"/>
            <family val="2"/>
          </rPr>
          <t>Selecting "Title 24" will default to the thickness specified by Title 24 for the indicated water temperature and pipe diameter</t>
        </r>
      </text>
    </comment>
    <comment ref="AN5" authorId="0">
      <text>
        <r>
          <rPr>
            <b/>
            <sz val="8"/>
            <color indexed="81"/>
            <rFont val="Tahoma"/>
            <family val="2"/>
          </rPr>
          <t>Molly McGuire:</t>
        </r>
        <r>
          <rPr>
            <sz val="8"/>
            <color indexed="81"/>
            <rFont val="Tahoma"/>
            <family val="2"/>
          </rPr>
          <t xml:space="preserve">
If cell to right of input is red, then this is not a valid fitting selection for this pipe size. Either remove fitting selection or change pipe size.</t>
        </r>
      </text>
    </comment>
    <comment ref="BJ5" authorId="2">
      <text>
        <r>
          <rPr>
            <sz val="8"/>
            <color indexed="81"/>
            <rFont val="Tahoma"/>
            <family val="2"/>
          </rPr>
          <t>Typically 2 psi for small coils like reheat VAVs, 5 psi for large coils</t>
        </r>
      </text>
    </comment>
    <comment ref="BL5" authorId="2">
      <text>
        <r>
          <rPr>
            <sz val="8"/>
            <color indexed="81"/>
            <rFont val="Tahoma"/>
            <family val="2"/>
          </rPr>
          <t>Obtain from Manufacturer</t>
        </r>
        <r>
          <rPr>
            <sz val="8"/>
            <color indexed="81"/>
            <rFont val="Tahoma"/>
            <family val="2"/>
          </rPr>
          <t xml:space="preserve">
This field can also be used to add a safety factor to the head calculation.</t>
        </r>
      </text>
    </comment>
    <comment ref="BS5" authorId="3">
      <text>
        <r>
          <rPr>
            <sz val="8"/>
            <color indexed="81"/>
            <rFont val="Tahoma"/>
            <family val="2"/>
          </rPr>
          <t>Water volume is provided as a convenience only--not used in lifecycle cost calculation.</t>
        </r>
        <r>
          <rPr>
            <sz val="8"/>
            <color indexed="81"/>
            <rFont val="Tahoma"/>
            <family val="2"/>
          </rPr>
          <t xml:space="preserve">
Includes only volume in pipe length, not in coil or equipment.</t>
        </r>
      </text>
    </comment>
    <comment ref="BW5" authorId="0">
      <text>
        <r>
          <rPr>
            <b/>
            <sz val="8"/>
            <color indexed="81"/>
            <rFont val="Tahoma"/>
            <family val="2"/>
          </rPr>
          <t>Molly McGuire:</t>
        </r>
        <r>
          <rPr>
            <sz val="8"/>
            <color indexed="81"/>
            <rFont val="Tahoma"/>
            <family val="2"/>
          </rPr>
          <t xml:space="preserve">
For CHW, pump heat is added to the load that the chiller will see. For HW, pump heat is subracted from the load that the boiler will see. For CW, pump heat is ignored.</t>
        </r>
      </text>
    </comment>
    <comment ref="BX5" authorId="0">
      <text>
        <r>
          <rPr>
            <b/>
            <sz val="8"/>
            <color indexed="81"/>
            <rFont val="Tahoma"/>
            <family val="2"/>
          </rPr>
          <t>Molly McGuire:</t>
        </r>
        <r>
          <rPr>
            <sz val="8"/>
            <color indexed="81"/>
            <rFont val="Tahoma"/>
            <family val="2"/>
          </rPr>
          <t xml:space="preserve">
For CHW, pump heat is added to the load that the chiller will see. For HW, pump heat is subracted from the load that the boiler will see. For CW, pump heat is ignored.</t>
        </r>
      </text>
    </comment>
    <comment ref="AN6" authorId="0">
      <text>
        <r>
          <rPr>
            <b/>
            <sz val="8"/>
            <color indexed="81"/>
            <rFont val="Tahoma"/>
            <family val="2"/>
          </rPr>
          <t>Molly McGuire:</t>
        </r>
        <r>
          <rPr>
            <sz val="8"/>
            <color indexed="81"/>
            <rFont val="Tahoma"/>
            <family val="2"/>
          </rPr>
          <t xml:space="preserve">
Acceptable size range: 1/2" to 12"</t>
        </r>
      </text>
    </comment>
    <comment ref="AQ6" authorId="0">
      <text>
        <r>
          <rPr>
            <b/>
            <sz val="8"/>
            <color indexed="81"/>
            <rFont val="Tahoma"/>
            <family val="2"/>
          </rPr>
          <t>Molly McGuire:</t>
        </r>
        <r>
          <rPr>
            <sz val="8"/>
            <color indexed="81"/>
            <rFont val="Tahoma"/>
            <family val="2"/>
          </rPr>
          <t xml:space="preserve">
Acceptable size range: ALL SIZES</t>
        </r>
      </text>
    </comment>
    <comment ref="AT6" authorId="0">
      <text>
        <r>
          <rPr>
            <b/>
            <sz val="8"/>
            <color indexed="81"/>
            <rFont val="Tahoma"/>
            <family val="2"/>
          </rPr>
          <t>Molly McGuire:</t>
        </r>
        <r>
          <rPr>
            <sz val="8"/>
            <color indexed="81"/>
            <rFont val="Tahoma"/>
            <family val="2"/>
          </rPr>
          <t xml:space="preserve">
Acceptable size range: ALL SIZES</t>
        </r>
      </text>
    </comment>
    <comment ref="AW6" authorId="0">
      <text>
        <r>
          <rPr>
            <b/>
            <sz val="9"/>
            <color indexed="81"/>
            <rFont val="Tahoma"/>
            <family val="2"/>
          </rPr>
          <t xml:space="preserve">Molly McGuire:
</t>
        </r>
        <r>
          <rPr>
            <sz val="8"/>
            <color indexed="81"/>
            <rFont val="Tahoma"/>
            <family val="2"/>
          </rPr>
          <t>Insert # of Ball or Butterfly valves. Based on pipe size, spreadsheet will automatically choose type of valve based on the cutoff size selected on the "Constants" sheet. Ball valves are usedfor pipes smaller than the selected size and Butterfly valves are used for pipes greater than or equal to the selected size.
Acceptable size range: ANY SIZE</t>
        </r>
        <r>
          <rPr>
            <sz val="9"/>
            <color indexed="81"/>
            <rFont val="Tahoma"/>
            <family val="2"/>
          </rPr>
          <t xml:space="preserve">
</t>
        </r>
      </text>
    </comment>
    <comment ref="BA6" authorId="0">
      <text>
        <r>
          <rPr>
            <b/>
            <sz val="8"/>
            <color indexed="81"/>
            <rFont val="Tahoma"/>
            <family val="2"/>
          </rPr>
          <t>Molly McGuire:</t>
        </r>
        <r>
          <rPr>
            <sz val="8"/>
            <color indexed="81"/>
            <rFont val="Tahoma"/>
            <family val="2"/>
          </rPr>
          <t xml:space="preserve">
Acceptable size range: 1/2" - 12"</t>
        </r>
      </text>
    </comment>
    <comment ref="BD6" authorId="0">
      <text>
        <r>
          <rPr>
            <b/>
            <sz val="8"/>
            <color indexed="81"/>
            <rFont val="Tahoma"/>
            <family val="2"/>
          </rPr>
          <t>Molly McGuire:</t>
        </r>
        <r>
          <rPr>
            <sz val="8"/>
            <color indexed="81"/>
            <rFont val="Tahoma"/>
            <family val="2"/>
          </rPr>
          <t xml:space="preserve">
Acceptable size range:  2" - 10"</t>
        </r>
      </text>
    </comment>
    <comment ref="BG6" authorId="0">
      <text>
        <r>
          <rPr>
            <b/>
            <sz val="8"/>
            <color indexed="81"/>
            <rFont val="Tahoma"/>
            <family val="2"/>
          </rPr>
          <t>Molly McGuire:</t>
        </r>
        <r>
          <rPr>
            <sz val="8"/>
            <color indexed="81"/>
            <rFont val="Tahoma"/>
            <family val="2"/>
          </rPr>
          <t xml:space="preserve">
Acceptable size range: 1/2" - 24"</t>
        </r>
      </text>
    </comment>
    <comment ref="DZ9" authorId="0">
      <text>
        <r>
          <rPr>
            <b/>
            <sz val="8"/>
            <color indexed="81"/>
            <rFont val="Tahoma"/>
            <family val="2"/>
          </rPr>
          <t>Molly McGuire:</t>
        </r>
        <r>
          <rPr>
            <sz val="8"/>
            <color indexed="81"/>
            <rFont val="Tahoma"/>
            <family val="2"/>
          </rPr>
          <t xml:space="preserve">
Motor and VFD cost are added in here
</t>
        </r>
      </text>
    </comment>
    <comment ref="A20" authorId="0">
      <text>
        <r>
          <rPr>
            <sz val="8"/>
            <color indexed="81"/>
            <rFont val="Tahoma"/>
            <family val="2"/>
          </rPr>
          <t>Present value of lifecycle energy cost / Year 0 energy cost
This is a function of the entered discount rate, inflation rate, and energy escalation rate.</t>
        </r>
        <r>
          <rPr>
            <sz val="8"/>
            <color indexed="81"/>
            <rFont val="Tahoma"/>
            <family val="2"/>
          </rPr>
          <t xml:space="preserve">
</t>
        </r>
      </text>
    </comment>
  </commentList>
</comments>
</file>

<file path=xl/comments4.xml><?xml version="1.0" encoding="utf-8"?>
<comments xmlns="http://schemas.openxmlformats.org/spreadsheetml/2006/main">
  <authors>
    <author>Molly McGuire</author>
    <author>tracy</author>
    <author>Molly Mcguire</author>
  </authors>
  <commentList>
    <comment ref="B8" authorId="0">
      <text>
        <r>
          <rPr>
            <b/>
            <sz val="8"/>
            <color indexed="81"/>
            <rFont val="Tahoma"/>
            <family val="2"/>
          </rPr>
          <t>Molly McGuire:</t>
        </r>
        <r>
          <rPr>
            <sz val="8"/>
            <color indexed="81"/>
            <rFont val="Tahoma"/>
            <family val="2"/>
          </rPr>
          <t xml:space="preserve">
ASHRAE HOF,  flanged welded pipe fittings (factors for soldered fittings not available)
</t>
        </r>
      </text>
    </comment>
    <comment ref="C10" authorId="0">
      <text>
        <r>
          <rPr>
            <b/>
            <sz val="8"/>
            <color indexed="81"/>
            <rFont val="Tahoma"/>
            <family val="2"/>
          </rPr>
          <t>Molly McGuire:</t>
        </r>
        <r>
          <rPr>
            <sz val="8"/>
            <color indexed="81"/>
            <rFont val="Tahoma"/>
            <family val="2"/>
          </rPr>
          <t xml:space="preserve">
standard elbow</t>
        </r>
      </text>
    </comment>
    <comment ref="D10" authorId="0">
      <text>
        <r>
          <rPr>
            <b/>
            <sz val="8"/>
            <color indexed="81"/>
            <rFont val="Tahoma"/>
            <family val="2"/>
          </rPr>
          <t>Molly McGuire:</t>
        </r>
        <r>
          <rPr>
            <sz val="8"/>
            <color indexed="81"/>
            <rFont val="Tahoma"/>
            <family val="2"/>
          </rPr>
          <t xml:space="preserve">
standard elbow</t>
        </r>
      </text>
    </comment>
    <comment ref="J10" authorId="0">
      <text>
        <r>
          <rPr>
            <sz val="8"/>
            <color indexed="81"/>
            <rFont val="Tahoma"/>
            <family val="2"/>
          </rPr>
          <t>B&amp;G Circuit Setter Performance Charts</t>
        </r>
      </text>
    </comment>
    <comment ref="K10" authorId="0">
      <text>
        <r>
          <rPr>
            <sz val="8"/>
            <color indexed="81"/>
            <rFont val="Tahoma"/>
            <family val="2"/>
          </rPr>
          <t>Nibco S/T-480 up to 2", F-910 for sizes greater than 2"</t>
        </r>
      </text>
    </comment>
    <comment ref="L10" authorId="0">
      <text>
        <r>
          <rPr>
            <sz val="8"/>
            <color indexed="81"/>
            <rFont val="Tahoma"/>
            <family val="2"/>
          </rPr>
          <t>Nibco S/T up to 2", T/F up to 12", no data for sizes &gt; 12"</t>
        </r>
      </text>
    </comment>
    <comment ref="M10" authorId="0">
      <text>
        <r>
          <rPr>
            <sz val="8"/>
            <color indexed="81"/>
            <rFont val="Tahoma"/>
            <family val="2"/>
          </rPr>
          <t>Nibco T-560-BR/CS/S6</t>
        </r>
      </text>
    </comment>
    <comment ref="N10" authorId="0">
      <text>
        <r>
          <rPr>
            <sz val="8"/>
            <color indexed="81"/>
            <rFont val="Tahoma"/>
            <family val="2"/>
          </rPr>
          <t>Nibco LD/WD</t>
        </r>
      </text>
    </comment>
    <comment ref="O10" authorId="0">
      <text>
        <r>
          <rPr>
            <sz val="8"/>
            <color indexed="81"/>
            <rFont val="Tahoma"/>
            <family val="2"/>
          </rPr>
          <t xml:space="preserve">Mueller Steam Specialty
model 758
</t>
        </r>
      </text>
    </comment>
    <comment ref="P10" authorId="0">
      <text>
        <r>
          <rPr>
            <sz val="8"/>
            <color indexed="81"/>
            <rFont val="Tahoma"/>
            <family val="2"/>
          </rPr>
          <t xml:space="preserve">Taco, SD
Inlet size: pipe dia
Outlet size: pipe dia - 1 size
</t>
        </r>
      </text>
    </comment>
    <comment ref="Q10" authorId="0">
      <text>
        <r>
          <rPr>
            <sz val="8"/>
            <color indexed="81"/>
            <rFont val="Tahoma"/>
            <family val="2"/>
          </rPr>
          <t>Griswold Class 150 Automatic Flow Control Valve</t>
        </r>
      </text>
    </comment>
    <comment ref="W10" authorId="0">
      <text>
        <r>
          <rPr>
            <b/>
            <sz val="8"/>
            <color indexed="81"/>
            <rFont val="Tahoma"/>
            <family val="2"/>
          </rPr>
          <t>Molly McGuire:</t>
        </r>
        <r>
          <rPr>
            <sz val="8"/>
            <color indexed="81"/>
            <rFont val="Tahoma"/>
            <family val="2"/>
          </rPr>
          <t xml:space="preserve">
From Glover Pocket Ref</t>
        </r>
      </text>
    </comment>
    <comment ref="W11" authorId="1">
      <text>
        <r>
          <rPr>
            <sz val="8"/>
            <color indexed="81"/>
            <rFont val="Tahoma"/>
            <family val="2"/>
          </rPr>
          <t>Standard wt = Sch 40</t>
        </r>
      </text>
    </comment>
    <comment ref="W12" authorId="1">
      <text>
        <r>
          <rPr>
            <sz val="8"/>
            <color indexed="81"/>
            <rFont val="Tahoma"/>
            <family val="2"/>
          </rPr>
          <t>Standard wt = Sch 40</t>
        </r>
      </text>
    </comment>
    <comment ref="W13" authorId="1">
      <text>
        <r>
          <rPr>
            <sz val="8"/>
            <color indexed="81"/>
            <rFont val="Tahoma"/>
            <family val="2"/>
          </rPr>
          <t>Standard wt = Sch 40</t>
        </r>
      </text>
    </comment>
    <comment ref="W14" authorId="1">
      <text>
        <r>
          <rPr>
            <sz val="8"/>
            <color indexed="81"/>
            <rFont val="Tahoma"/>
            <family val="2"/>
          </rPr>
          <t>Standard wt = Sch 40</t>
        </r>
      </text>
    </comment>
    <comment ref="W15" authorId="1">
      <text>
        <r>
          <rPr>
            <sz val="8"/>
            <color indexed="81"/>
            <rFont val="Tahoma"/>
            <family val="2"/>
          </rPr>
          <t>Standard wt = Sch 40</t>
        </r>
      </text>
    </comment>
    <comment ref="W16" authorId="1">
      <text>
        <r>
          <rPr>
            <sz val="8"/>
            <color indexed="81"/>
            <rFont val="Tahoma"/>
            <family val="2"/>
          </rPr>
          <t>Standard wt = Sch 40</t>
        </r>
      </text>
    </comment>
    <comment ref="W17" authorId="1">
      <text>
        <r>
          <rPr>
            <sz val="8"/>
            <color indexed="81"/>
            <rFont val="Tahoma"/>
            <family val="2"/>
          </rPr>
          <t>Standard wt = Sch 40</t>
        </r>
      </text>
    </comment>
    <comment ref="W18" authorId="1">
      <text>
        <r>
          <rPr>
            <sz val="8"/>
            <color indexed="81"/>
            <rFont val="Tahoma"/>
            <family val="2"/>
          </rPr>
          <t>Standard wt = Sch 40</t>
        </r>
      </text>
    </comment>
    <comment ref="W19" authorId="1">
      <text>
        <r>
          <rPr>
            <sz val="8"/>
            <color indexed="81"/>
            <rFont val="Tahoma"/>
            <family val="2"/>
          </rPr>
          <t>Standard wt = Sch 40</t>
        </r>
      </text>
    </comment>
    <comment ref="W20" authorId="1">
      <text>
        <r>
          <rPr>
            <sz val="8"/>
            <color indexed="81"/>
            <rFont val="Tahoma"/>
            <family val="2"/>
          </rPr>
          <t>Standard wt = Sch 40</t>
        </r>
      </text>
    </comment>
    <comment ref="B21" authorId="0">
      <text>
        <r>
          <rPr>
            <b/>
            <sz val="8"/>
            <color indexed="81"/>
            <rFont val="Tahoma"/>
            <family val="2"/>
          </rPr>
          <t>Molly McGuire:</t>
        </r>
        <r>
          <rPr>
            <sz val="8"/>
            <color indexed="81"/>
            <rFont val="Tahoma"/>
            <family val="2"/>
          </rPr>
          <t xml:space="preserve">
ASHRAE HOF, welded fittings
</t>
        </r>
      </text>
    </comment>
    <comment ref="W21" authorId="1">
      <text>
        <r>
          <rPr>
            <sz val="8"/>
            <color indexed="81"/>
            <rFont val="Tahoma"/>
            <family val="2"/>
          </rPr>
          <t>Standard wt = Sch 40</t>
        </r>
      </text>
    </comment>
    <comment ref="W22" authorId="1">
      <text>
        <r>
          <rPr>
            <sz val="8"/>
            <color indexed="81"/>
            <rFont val="Tahoma"/>
            <family val="2"/>
          </rPr>
          <t>Standard wt = Sch 40</t>
        </r>
      </text>
    </comment>
    <comment ref="C23" authorId="0">
      <text>
        <r>
          <rPr>
            <b/>
            <sz val="8"/>
            <color indexed="81"/>
            <rFont val="Tahoma"/>
            <family val="2"/>
          </rPr>
          <t>Molly McGuire:</t>
        </r>
        <r>
          <rPr>
            <sz val="8"/>
            <color indexed="81"/>
            <rFont val="Tahoma"/>
            <family val="2"/>
          </rPr>
          <t xml:space="preserve">
standard elbow</t>
        </r>
      </text>
    </comment>
    <comment ref="D23" authorId="0">
      <text>
        <r>
          <rPr>
            <b/>
            <sz val="8"/>
            <color indexed="81"/>
            <rFont val="Tahoma"/>
            <family val="2"/>
          </rPr>
          <t>Molly McGuire:</t>
        </r>
        <r>
          <rPr>
            <sz val="8"/>
            <color indexed="81"/>
            <rFont val="Tahoma"/>
            <family val="2"/>
          </rPr>
          <t xml:space="preserve">
Long-radius elbow</t>
        </r>
      </text>
    </comment>
    <comment ref="W23" authorId="1">
      <text>
        <r>
          <rPr>
            <sz val="8"/>
            <color indexed="81"/>
            <rFont val="Tahoma"/>
            <family val="2"/>
          </rPr>
          <t>Standard wt = Sch 40</t>
        </r>
      </text>
    </comment>
    <comment ref="W24" authorId="0">
      <text>
        <r>
          <rPr>
            <sz val="8"/>
            <color indexed="81"/>
            <rFont val="Tahoma"/>
            <family val="2"/>
          </rPr>
          <t>Standard wt</t>
        </r>
      </text>
    </comment>
    <comment ref="W25" authorId="0">
      <text>
        <r>
          <rPr>
            <sz val="8"/>
            <color indexed="81"/>
            <rFont val="Tahoma"/>
            <family val="2"/>
          </rPr>
          <t>Standard wt = Sch 30</t>
        </r>
      </text>
    </comment>
    <comment ref="W26" authorId="0">
      <text>
        <r>
          <rPr>
            <sz val="8"/>
            <color indexed="81"/>
            <rFont val="Tahoma"/>
            <family val="2"/>
          </rPr>
          <t>Standard wt = Sch 30</t>
        </r>
      </text>
    </comment>
    <comment ref="W27" authorId="0">
      <text>
        <r>
          <rPr>
            <sz val="8"/>
            <color indexed="81"/>
            <rFont val="Tahoma"/>
            <family val="2"/>
          </rPr>
          <t>Standard wt</t>
        </r>
      </text>
    </comment>
    <comment ref="W28" authorId="0">
      <text>
        <r>
          <rPr>
            <sz val="8"/>
            <color indexed="81"/>
            <rFont val="Tahoma"/>
            <family val="2"/>
          </rPr>
          <t>Standard wt = sch 20</t>
        </r>
      </text>
    </comment>
    <comment ref="W29" authorId="0">
      <text>
        <r>
          <rPr>
            <sz val="8"/>
            <color indexed="81"/>
            <rFont val="Tahoma"/>
            <family val="2"/>
          </rPr>
          <t>Standard wt = sch 20</t>
        </r>
      </text>
    </comment>
    <comment ref="W30" authorId="0">
      <text>
        <r>
          <rPr>
            <sz val="8"/>
            <color indexed="81"/>
            <rFont val="Tahoma"/>
            <family val="2"/>
          </rPr>
          <t>Standard wt</t>
        </r>
      </text>
    </comment>
    <comment ref="W31" authorId="0">
      <text>
        <r>
          <rPr>
            <sz val="8"/>
            <color indexed="81"/>
            <rFont val="Tahoma"/>
            <family val="2"/>
          </rPr>
          <t>Standard wt</t>
        </r>
      </text>
    </comment>
    <comment ref="U32" authorId="0">
      <text>
        <r>
          <rPr>
            <b/>
            <sz val="8"/>
            <color indexed="81"/>
            <rFont val="Tahoma"/>
            <family val="2"/>
          </rPr>
          <t>Molly McGuire:</t>
        </r>
        <r>
          <rPr>
            <sz val="8"/>
            <color indexed="81"/>
            <rFont val="Tahoma"/>
            <family val="2"/>
          </rPr>
          <t xml:space="preserve">
Steve's previous values, can be corrorborated at EngineeringToolbox.com.</t>
        </r>
      </text>
    </comment>
    <comment ref="B53" authorId="0">
      <text>
        <r>
          <rPr>
            <b/>
            <sz val="9"/>
            <color indexed="81"/>
            <rFont val="Tahoma"/>
            <family val="2"/>
          </rPr>
          <t>Molly McGuire:</t>
        </r>
        <r>
          <rPr>
            <sz val="9"/>
            <color indexed="81"/>
            <rFont val="Tahoma"/>
            <family val="2"/>
          </rPr>
          <t xml:space="preserve">
Use ball valve for all sizes smaller than the input size.</t>
        </r>
      </text>
    </comment>
    <comment ref="C55" authorId="0">
      <text>
        <r>
          <rPr>
            <b/>
            <sz val="8"/>
            <color indexed="81"/>
            <rFont val="Tahoma"/>
            <family val="2"/>
          </rPr>
          <t>Molly McGuire:</t>
        </r>
        <r>
          <rPr>
            <sz val="8"/>
            <color indexed="81"/>
            <rFont val="Tahoma"/>
            <family val="2"/>
          </rPr>
          <t xml:space="preserve">
2008 RS Means Mechanical Cost Data
Type L tubing, couplings &amp; hangers 10' O.C.</t>
        </r>
      </text>
    </comment>
    <comment ref="E55" authorId="0">
      <text>
        <r>
          <rPr>
            <b/>
            <sz val="8"/>
            <color indexed="81"/>
            <rFont val="Tahoma"/>
            <family val="2"/>
          </rPr>
          <t>Molly McGuire:</t>
        </r>
        <r>
          <rPr>
            <sz val="8"/>
            <color indexed="81"/>
            <rFont val="Tahoma"/>
            <family val="2"/>
          </rPr>
          <t xml:space="preserve">
2008 RS Means Mechanical Cost Data
solder joints, copper x copper</t>
        </r>
      </text>
    </comment>
    <comment ref="G55" authorId="0">
      <text>
        <r>
          <rPr>
            <b/>
            <sz val="8"/>
            <color indexed="81"/>
            <rFont val="Tahoma"/>
            <family val="2"/>
          </rPr>
          <t>Molly McGuire:</t>
        </r>
        <r>
          <rPr>
            <sz val="8"/>
            <color indexed="81"/>
            <rFont val="Tahoma"/>
            <family val="2"/>
          </rPr>
          <t xml:space="preserve">
2008 RS Means Mechanical Cost Data
solder joints, copper x copper</t>
        </r>
      </text>
    </comment>
    <comment ref="I55" authorId="0">
      <text>
        <r>
          <rPr>
            <b/>
            <sz val="8"/>
            <color indexed="81"/>
            <rFont val="Tahoma"/>
            <family val="2"/>
          </rPr>
          <t>Molly McGuire:</t>
        </r>
        <r>
          <rPr>
            <sz val="8"/>
            <color indexed="81"/>
            <rFont val="Tahoma"/>
            <family val="2"/>
          </rPr>
          <t xml:space="preserve">
2008 RS Means Mechanical Cost Data,
solder joints, copper x copper</t>
        </r>
      </text>
    </comment>
    <comment ref="M55" authorId="2">
      <text>
        <r>
          <rPr>
            <b/>
            <sz val="8"/>
            <color indexed="81"/>
            <rFont val="Tahoma"/>
            <family val="2"/>
          </rPr>
          <t>Molly Mcguire:</t>
        </r>
        <r>
          <rPr>
            <sz val="8"/>
            <color indexed="81"/>
            <rFont val="Tahoma"/>
            <family val="2"/>
          </rPr>
          <t xml:space="preserve">
2008 RS Means Mechanical Cost Data,  
Silent check, bronze trim, full flange wafer type, 150#, up to 6", size 8"  references steel piping below
</t>
        </r>
      </text>
    </comment>
    <comment ref="O55" authorId="0">
      <text>
        <r>
          <rPr>
            <b/>
            <sz val="8"/>
            <color indexed="81"/>
            <rFont val="Tahoma"/>
            <family val="2"/>
          </rPr>
          <t>Molly McGuire:</t>
        </r>
        <r>
          <rPr>
            <sz val="8"/>
            <color indexed="81"/>
            <rFont val="Tahoma"/>
            <family val="2"/>
          </rPr>
          <t xml:space="preserve">
2008 RS Means Mechanical Cost Data,  Bronze, check swing, 300#, sweat, up to 3", sizes 4" and up reference steel pricing
</t>
        </r>
      </text>
    </comment>
    <comment ref="Q55" authorId="0">
      <text>
        <r>
          <rPr>
            <b/>
            <sz val="8"/>
            <color indexed="81"/>
            <rFont val="Tahoma"/>
            <family val="2"/>
          </rPr>
          <t>Molly McGuire:</t>
        </r>
        <r>
          <rPr>
            <sz val="8"/>
            <color indexed="81"/>
            <rFont val="Tahoma"/>
            <family val="2"/>
          </rPr>
          <t xml:space="preserve">
2008 RSMeans Mechanical Cost Data, 
Bronze, ball, 150 psi, threaded</t>
        </r>
      </text>
    </comment>
    <comment ref="S55" authorId="0">
      <text>
        <r>
          <rPr>
            <b/>
            <sz val="8"/>
            <color indexed="81"/>
            <rFont val="Tahoma"/>
            <family val="2"/>
          </rPr>
          <t xml:space="preserve">Molly McGuire:
</t>
        </r>
        <r>
          <rPr>
            <sz val="8"/>
            <color indexed="81"/>
            <rFont val="Tahoma"/>
            <family val="2"/>
          </rPr>
          <t>2008 RSMeans Mechanical Cost Data, 
references steel pricing below</t>
        </r>
      </text>
    </comment>
    <comment ref="U55" authorId="0">
      <text>
        <r>
          <rPr>
            <b/>
            <sz val="8"/>
            <color indexed="81"/>
            <rFont val="Tahoma"/>
            <family val="2"/>
          </rPr>
          <t>Molly McGuire:</t>
        </r>
        <r>
          <rPr>
            <sz val="8"/>
            <color indexed="81"/>
            <rFont val="Tahoma"/>
            <family val="2"/>
          </rPr>
          <t xml:space="preserve">
2008 RSMeans Mechanical Cost Data
bronze, screwed &lt;1-1/2", flanged &gt;=1-1/2"</t>
        </r>
      </text>
    </comment>
    <comment ref="W55" authorId="0">
      <text>
        <r>
          <rPr>
            <b/>
            <sz val="8"/>
            <color indexed="81"/>
            <rFont val="Tahoma"/>
            <family val="2"/>
          </rPr>
          <t>Molly McGuire:</t>
        </r>
        <r>
          <rPr>
            <sz val="8"/>
            <color indexed="81"/>
            <rFont val="Tahoma"/>
            <family val="2"/>
          </rPr>
          <t xml:space="preserve">
2008 RSMeans Mechanical Cost Data
Cast Iron body with integral straightening vanes, strainer, flanged
Inlet size: pipe dia
Outlet size: pipe dia - 1 size
</t>
        </r>
      </text>
    </comment>
    <comment ref="K56" authorId="0">
      <text>
        <r>
          <rPr>
            <b/>
            <sz val="8"/>
            <color indexed="81"/>
            <rFont val="Tahoma"/>
            <family val="2"/>
          </rPr>
          <t>Molly McGuire:</t>
        </r>
        <r>
          <rPr>
            <sz val="8"/>
            <color indexed="81"/>
            <rFont val="Tahoma"/>
            <family val="2"/>
          </rPr>
          <t xml:space="preserve">
California Hydronics, prices as of 10/08
&lt;=2": Bell &amp; Gossett model: CB Circuit Setter, bronze FPT body with sweat ends
&gt;2":  Bell &amp; Bossett model CB-F, 125" flanged cast iron valves
</t>
        </r>
      </text>
    </comment>
    <comment ref="L56" authorId="0">
      <text>
        <r>
          <rPr>
            <b/>
            <sz val="8"/>
            <color indexed="81"/>
            <rFont val="Tahoma"/>
            <family val="2"/>
          </rPr>
          <t>Molly McGuire:</t>
        </r>
        <r>
          <rPr>
            <sz val="8"/>
            <color indexed="81"/>
            <rFont val="Tahoma"/>
            <family val="2"/>
          </rPr>
          <t xml:space="preserve">
2008 RSMeans Mechanical Cost Data
</t>
        </r>
      </text>
    </comment>
    <comment ref="Y56" authorId="0">
      <text>
        <r>
          <rPr>
            <b/>
            <sz val="8"/>
            <color indexed="81"/>
            <rFont val="Tahoma"/>
            <family val="2"/>
          </rPr>
          <t>Molly McGuire:</t>
        </r>
        <r>
          <rPr>
            <sz val="8"/>
            <color indexed="81"/>
            <rFont val="Tahoma"/>
            <family val="2"/>
          </rPr>
          <t xml:space="preserve">
California Hydronics, prices as of 10/08 for Griswold valves</t>
        </r>
      </text>
    </comment>
    <comment ref="Z56" authorId="0">
      <text>
        <r>
          <rPr>
            <b/>
            <sz val="8"/>
            <color indexed="81"/>
            <rFont val="Tahoma"/>
            <family val="2"/>
          </rPr>
          <t>Molly McGuire:</t>
        </r>
        <r>
          <rPr>
            <sz val="8"/>
            <color indexed="81"/>
            <rFont val="Tahoma"/>
            <family val="2"/>
          </rPr>
          <t xml:space="preserve">
circuit setter install costs used here, from 2002 RSMeans Mechanical Cost Data</t>
        </r>
      </text>
    </comment>
    <comment ref="C71" authorId="0">
      <text>
        <r>
          <rPr>
            <b/>
            <sz val="8"/>
            <color indexed="81"/>
            <rFont val="Tahoma"/>
            <family val="2"/>
          </rPr>
          <t>Molly McGuire:</t>
        </r>
        <r>
          <rPr>
            <sz val="8"/>
            <color indexed="81"/>
            <rFont val="Tahoma"/>
            <family val="2"/>
          </rPr>
          <t xml:space="preserve">
2008 RS Means Mechanical Cost Data
Schedule 40, threaded up to 3/4"; welded for 1" and up
Std wt pricing for sizes larger than 12" not available</t>
        </r>
      </text>
    </comment>
    <comment ref="E71" authorId="0">
      <text>
        <r>
          <rPr>
            <b/>
            <sz val="8"/>
            <color indexed="81"/>
            <rFont val="Tahoma"/>
            <family val="2"/>
          </rPr>
          <t>Molly McGuire:</t>
        </r>
        <r>
          <rPr>
            <sz val="8"/>
            <color indexed="81"/>
            <rFont val="Tahoma"/>
            <family val="2"/>
          </rPr>
          <t xml:space="preserve">
2008 RS Means Mechanical Cost Data
Standard weight, weld joint, butt, carbon steel, long radius
</t>
        </r>
      </text>
    </comment>
    <comment ref="G71" authorId="0">
      <text>
        <r>
          <rPr>
            <b/>
            <sz val="8"/>
            <color indexed="81"/>
            <rFont val="Tahoma"/>
            <family val="2"/>
          </rPr>
          <t xml:space="preserve">Molly McGuire: 
</t>
        </r>
        <r>
          <rPr>
            <sz val="8"/>
            <color indexed="81"/>
            <rFont val="Tahoma"/>
            <family val="2"/>
          </rPr>
          <t xml:space="preserve">2008 RS Means Mechanical Cost Data
Standard weight, weld joint, butt, carbon steel, long radius
</t>
        </r>
      </text>
    </comment>
    <comment ref="I71" authorId="0">
      <text>
        <r>
          <rPr>
            <b/>
            <sz val="8"/>
            <color indexed="81"/>
            <rFont val="Tahoma"/>
            <family val="2"/>
          </rPr>
          <t>Molly McGuire:</t>
        </r>
        <r>
          <rPr>
            <sz val="8"/>
            <color indexed="81"/>
            <rFont val="Tahoma"/>
            <family val="2"/>
          </rPr>
          <t xml:space="preserve">
2008 RS Means Mechanical Cost Data
Standard weight, weld joint, butt, carbon steel</t>
        </r>
      </text>
    </comment>
    <comment ref="M71" authorId="2">
      <text>
        <r>
          <rPr>
            <b/>
            <sz val="8"/>
            <color indexed="81"/>
            <rFont val="Tahoma"/>
            <family val="2"/>
          </rPr>
          <t>Molly Mcguire:</t>
        </r>
        <r>
          <rPr>
            <sz val="8"/>
            <color indexed="81"/>
            <rFont val="Tahoma"/>
            <family val="2"/>
          </rPr>
          <t xml:space="preserve">
2008 RS Means Mechanical Cost Data,  
Cast steel, silent check, 316 S.S. trim, full flange type, 150# sizes 1" to 10", sizes 12" and up are globe type, 150#, sizes 1/2" and 3/4" reference copper pricing above</t>
        </r>
      </text>
    </comment>
    <comment ref="O71" authorId="0">
      <text>
        <r>
          <rPr>
            <b/>
            <sz val="8"/>
            <color indexed="81"/>
            <rFont val="Tahoma"/>
            <family val="2"/>
          </rPr>
          <t>Molly McGuire:</t>
        </r>
        <r>
          <rPr>
            <sz val="8"/>
            <color indexed="81"/>
            <rFont val="Tahoma"/>
            <family val="2"/>
          </rPr>
          <t xml:space="preserve">
2008 RS Means Mechanical Cost Data, check valve, cast steel, swing type, 150#, flanged
</t>
        </r>
      </text>
    </comment>
    <comment ref="Q71" authorId="0">
      <text>
        <r>
          <rPr>
            <b/>
            <sz val="8"/>
            <color indexed="81"/>
            <rFont val="Tahoma"/>
            <family val="2"/>
          </rPr>
          <t>Molly McGuire:</t>
        </r>
        <r>
          <rPr>
            <sz val="8"/>
            <color indexed="81"/>
            <rFont val="Tahoma"/>
            <family val="2"/>
          </rPr>
          <t xml:space="preserve">
2008 RSMeans Mechanical Cost Data,  
Steel, forged, ball valve, 800#, socket weld</t>
        </r>
      </text>
    </comment>
    <comment ref="S71" authorId="0">
      <text>
        <r>
          <rPr>
            <b/>
            <sz val="8"/>
            <color indexed="81"/>
            <rFont val="Tahoma"/>
            <family val="2"/>
          </rPr>
          <t xml:space="preserve">Molly McGuire:
</t>
        </r>
        <r>
          <rPr>
            <sz val="8"/>
            <color indexed="81"/>
            <rFont val="Tahoma"/>
            <family val="2"/>
          </rPr>
          <t>2008 RSMeans Mechanical Cost Data, 
Iron body, butterfly, lug type, gear operated, 200/150#</t>
        </r>
      </text>
    </comment>
    <comment ref="U71" authorId="0">
      <text>
        <r>
          <rPr>
            <b/>
            <sz val="8"/>
            <color indexed="81"/>
            <rFont val="Tahoma"/>
            <family val="2"/>
          </rPr>
          <t>Molly McGuire:</t>
        </r>
        <r>
          <rPr>
            <sz val="8"/>
            <color indexed="81"/>
            <rFont val="Tahoma"/>
            <family val="2"/>
          </rPr>
          <t xml:space="preserve">
2008 RSMeans Mechanical Cost Data
iron body, screwed &lt; 1 1/2", flanged &gt;=1 1/2"</t>
        </r>
      </text>
    </comment>
    <comment ref="W71" authorId="0">
      <text>
        <r>
          <rPr>
            <b/>
            <sz val="8"/>
            <color indexed="81"/>
            <rFont val="Tahoma"/>
            <family val="2"/>
          </rPr>
          <t>Molly McGuire:</t>
        </r>
        <r>
          <rPr>
            <sz val="8"/>
            <color indexed="81"/>
            <rFont val="Tahoma"/>
            <family val="2"/>
          </rPr>
          <t xml:space="preserve">
2008 RSMeans Mechanical Cost Data
Cast Iron body with integral straightening vanes, strainer, flanged
Inlet size: pipe dia
Outlet size: pipe dia - 1 size
</t>
        </r>
      </text>
    </comment>
    <comment ref="D72" authorId="0">
      <text>
        <r>
          <rPr>
            <b/>
            <sz val="8"/>
            <color indexed="81"/>
            <rFont val="Tahoma"/>
            <family val="2"/>
          </rPr>
          <t>Molly McGuire:</t>
        </r>
        <r>
          <rPr>
            <sz val="8"/>
            <color indexed="81"/>
            <rFont val="Tahoma"/>
            <family val="2"/>
          </rPr>
          <t xml:space="preserve">
labor + equip</t>
        </r>
      </text>
    </comment>
    <comment ref="K72" authorId="0">
      <text>
        <r>
          <rPr>
            <b/>
            <sz val="8"/>
            <color indexed="81"/>
            <rFont val="Tahoma"/>
            <family val="2"/>
          </rPr>
          <t>Molly McGuire:</t>
        </r>
        <r>
          <rPr>
            <sz val="8"/>
            <color indexed="81"/>
            <rFont val="Tahoma"/>
            <family val="2"/>
          </rPr>
          <t xml:space="preserve">
California Hydronics, prices as of 10/08
&lt;=2": Bell &amp; Gossett model: CB Circuit Setter, bronze FPT body with sweat ends
&gt;2":  Bell &amp; Bossett model CB-F, 125" flanged cast iron valves
</t>
        </r>
      </text>
    </comment>
    <comment ref="L72" authorId="0">
      <text>
        <r>
          <rPr>
            <b/>
            <sz val="8"/>
            <color indexed="81"/>
            <rFont val="Tahoma"/>
            <family val="2"/>
          </rPr>
          <t>Molly McGuire:</t>
        </r>
        <r>
          <rPr>
            <sz val="8"/>
            <color indexed="81"/>
            <rFont val="Tahoma"/>
            <family val="2"/>
          </rPr>
          <t xml:space="preserve">
2008 RSMeans Mechanical Cost Data
</t>
        </r>
      </text>
    </comment>
    <comment ref="Y72" authorId="0">
      <text>
        <r>
          <rPr>
            <b/>
            <sz val="8"/>
            <color indexed="81"/>
            <rFont val="Tahoma"/>
            <family val="2"/>
          </rPr>
          <t>Molly McGuire:</t>
        </r>
        <r>
          <rPr>
            <sz val="8"/>
            <color indexed="81"/>
            <rFont val="Tahoma"/>
            <family val="2"/>
          </rPr>
          <t xml:space="preserve">
California Hydronics, prices as of 10/08 for Griswold valves</t>
        </r>
      </text>
    </comment>
    <comment ref="Z72" authorId="0">
      <text>
        <r>
          <rPr>
            <b/>
            <sz val="8"/>
            <color indexed="81"/>
            <rFont val="Tahoma"/>
            <family val="2"/>
          </rPr>
          <t>Molly McGuire:</t>
        </r>
        <r>
          <rPr>
            <sz val="8"/>
            <color indexed="81"/>
            <rFont val="Tahoma"/>
            <family val="2"/>
          </rPr>
          <t xml:space="preserve">
2008 RSMeans Mechanical Cost Data, circuit setter costs used here
</t>
        </r>
      </text>
    </comment>
    <comment ref="C85" authorId="0">
      <text>
        <r>
          <rPr>
            <b/>
            <sz val="8"/>
            <color indexed="81"/>
            <rFont val="Tahoma"/>
            <family val="2"/>
          </rPr>
          <t>Molly McGuire:</t>
        </r>
        <r>
          <rPr>
            <sz val="8"/>
            <color indexed="81"/>
            <rFont val="Tahoma"/>
            <family val="2"/>
          </rPr>
          <t xml:space="preserve">
Prices for 10" and 12" steel pipe are typos in Means.</t>
        </r>
      </text>
    </comment>
    <comment ref="B95" authorId="0">
      <text>
        <r>
          <rPr>
            <b/>
            <sz val="8"/>
            <color indexed="81"/>
            <rFont val="Tahoma"/>
            <family val="2"/>
          </rPr>
          <t>Molly McGuire:</t>
        </r>
        <r>
          <rPr>
            <sz val="8"/>
            <color indexed="81"/>
            <rFont val="Tahoma"/>
            <family val="2"/>
          </rPr>
          <t xml:space="preserve">
RS Means 2008
Fiberglass, with all service jacket</t>
        </r>
      </text>
    </comment>
    <comment ref="I95" authorId="0">
      <text>
        <r>
          <rPr>
            <b/>
            <sz val="8"/>
            <color indexed="81"/>
            <rFont val="Tahoma"/>
            <family val="2"/>
          </rPr>
          <t>Molly McGuire:</t>
        </r>
        <r>
          <rPr>
            <sz val="8"/>
            <color indexed="81"/>
            <rFont val="Tahoma"/>
            <family val="2"/>
          </rPr>
          <t xml:space="preserve">
RS Means 2008
Fiberglass, with all service jacket</t>
        </r>
      </text>
    </comment>
    <comment ref="AE95" authorId="0">
      <text>
        <r>
          <rPr>
            <sz val="8"/>
            <color indexed="81"/>
            <rFont val="Tahoma"/>
            <family val="2"/>
          </rPr>
          <t xml:space="preserve">Cost per HP, based on table to left
</t>
        </r>
      </text>
    </comment>
    <comment ref="X96" authorId="0">
      <text>
        <r>
          <rPr>
            <b/>
            <sz val="8"/>
            <color indexed="81"/>
            <rFont val="Tahoma"/>
            <family val="2"/>
          </rPr>
          <t>Molly McGuire:</t>
        </r>
        <r>
          <rPr>
            <sz val="8"/>
            <color indexed="81"/>
            <rFont val="Tahoma"/>
            <family val="2"/>
          </rPr>
          <t xml:space="preserve">
RS Means Mechanical Cost Data 2008
&lt;= 1 HP: In-line centrifugal, cast iron, flange connection
&gt; 1 HP, &lt;=20 HP: In-line centrifugal, cast iron, flange connection, Close coupled, end suction, bronze impeller
&gt; 25 HP: Centrifugal, end suction, base mounted, horizontal split case, drip proof motor, single stage, rated at 100' head</t>
        </r>
      </text>
    </comment>
    <comment ref="AA96" authorId="0">
      <text>
        <r>
          <rPr>
            <b/>
            <sz val="8"/>
            <color indexed="81"/>
            <rFont val="Tahoma"/>
            <family val="2"/>
          </rPr>
          <t>Molly McGuire:</t>
        </r>
        <r>
          <rPr>
            <sz val="8"/>
            <color indexed="81"/>
            <rFont val="Tahoma"/>
            <family val="2"/>
          </rPr>
          <t xml:space="preserve">
Contractor cost from Dave Eisenberg, 10/07</t>
        </r>
      </text>
    </comment>
    <comment ref="W120" authorId="0">
      <text>
        <r>
          <rPr>
            <b/>
            <sz val="8"/>
            <color indexed="81"/>
            <rFont val="Tahoma"/>
            <family val="2"/>
          </rPr>
          <t>Molly McGuire:</t>
        </r>
        <r>
          <rPr>
            <sz val="8"/>
            <color indexed="81"/>
            <rFont val="Tahoma"/>
            <family val="2"/>
          </rPr>
          <t xml:space="preserve">
Greater than 200 HP, use $/HP for each, see formula for calc</t>
        </r>
      </text>
    </comment>
    <comment ref="X120" authorId="0">
      <text>
        <r>
          <rPr>
            <b/>
            <sz val="8"/>
            <color indexed="81"/>
            <rFont val="Tahoma"/>
            <family val="2"/>
          </rPr>
          <t>Molly McGuire:</t>
        </r>
        <r>
          <rPr>
            <sz val="8"/>
            <color indexed="81"/>
            <rFont val="Tahoma"/>
            <family val="2"/>
          </rPr>
          <t xml:space="preserve">
Greater than 200 HP, use $/HP for each, see formula for calc</t>
        </r>
      </text>
    </comment>
    <comment ref="Y120" authorId="0">
      <text>
        <r>
          <rPr>
            <b/>
            <sz val="8"/>
            <color indexed="81"/>
            <rFont val="Tahoma"/>
            <family val="2"/>
          </rPr>
          <t>Molly McGuire:</t>
        </r>
        <r>
          <rPr>
            <sz val="8"/>
            <color indexed="81"/>
            <rFont val="Tahoma"/>
            <family val="2"/>
          </rPr>
          <t xml:space="preserve">
Greater than 200 HP, use $/HP for each, see formula for calc</t>
        </r>
      </text>
    </comment>
    <comment ref="Z120" authorId="0">
      <text>
        <r>
          <rPr>
            <b/>
            <sz val="8"/>
            <color indexed="81"/>
            <rFont val="Tahoma"/>
            <family val="2"/>
          </rPr>
          <t>Molly McGuire:</t>
        </r>
        <r>
          <rPr>
            <sz val="8"/>
            <color indexed="81"/>
            <rFont val="Tahoma"/>
            <family val="2"/>
          </rPr>
          <t xml:space="preserve">
Greater than 200 HP, use $/HP for each, see formula for calc</t>
        </r>
      </text>
    </comment>
    <comment ref="AA120" authorId="0">
      <text>
        <r>
          <rPr>
            <b/>
            <sz val="8"/>
            <color indexed="81"/>
            <rFont val="Tahoma"/>
            <family val="2"/>
          </rPr>
          <t>Molly McGuire:</t>
        </r>
        <r>
          <rPr>
            <sz val="8"/>
            <color indexed="81"/>
            <rFont val="Tahoma"/>
            <family val="2"/>
          </rPr>
          <t xml:space="preserve">
Greater than 200 HP, use $/HP for each, see formula for calc</t>
        </r>
      </text>
    </comment>
    <comment ref="AB120" authorId="0">
      <text>
        <r>
          <rPr>
            <b/>
            <sz val="8"/>
            <color indexed="81"/>
            <rFont val="Tahoma"/>
            <family val="2"/>
          </rPr>
          <t>Molly McGuire:</t>
        </r>
        <r>
          <rPr>
            <sz val="8"/>
            <color indexed="81"/>
            <rFont val="Tahoma"/>
            <family val="2"/>
          </rPr>
          <t xml:space="preserve">
Greater than 200 HP, use $/HP for each, see formula for calc</t>
        </r>
      </text>
    </comment>
    <comment ref="AC120" authorId="0">
      <text>
        <r>
          <rPr>
            <b/>
            <sz val="8"/>
            <color indexed="81"/>
            <rFont val="Tahoma"/>
            <family val="2"/>
          </rPr>
          <t>Molly McGuire:</t>
        </r>
        <r>
          <rPr>
            <sz val="8"/>
            <color indexed="81"/>
            <rFont val="Tahoma"/>
            <family val="2"/>
          </rPr>
          <t xml:space="preserve">
Greater than 200 HP, use $/HP for each, see formula for calc</t>
        </r>
      </text>
    </comment>
    <comment ref="B125" authorId="0">
      <text>
        <r>
          <rPr>
            <b/>
            <sz val="8"/>
            <color indexed="81"/>
            <rFont val="Tahoma"/>
            <family val="2"/>
          </rPr>
          <t xml:space="preserve">Molly McGuire
</t>
        </r>
        <r>
          <rPr>
            <sz val="8"/>
            <color indexed="81"/>
            <rFont val="Tahoma"/>
            <family val="2"/>
          </rPr>
          <t>Noise-sensitive piping is limited to the following velocities. Limits are based on a linear interpolation between 3 fps for a 3/4" pipe and 20 fps for a 30" pipe.</t>
        </r>
      </text>
    </comment>
    <comment ref="G125" authorId="0">
      <text>
        <r>
          <rPr>
            <b/>
            <sz val="8"/>
            <color indexed="81"/>
            <rFont val="Tahoma"/>
            <family val="2"/>
          </rPr>
          <t>Molly McGuire:</t>
        </r>
        <r>
          <rPr>
            <sz val="8"/>
            <color indexed="81"/>
            <rFont val="Tahoma"/>
            <family val="2"/>
          </rPr>
          <t xml:space="preserve">
From Wilson</t>
        </r>
      </text>
    </comment>
    <comment ref="L126" authorId="0">
      <text>
        <r>
          <rPr>
            <b/>
            <sz val="8"/>
            <color indexed="81"/>
            <rFont val="Tahoma"/>
            <family val="2"/>
          </rPr>
          <t>Molly McGuire:</t>
        </r>
        <r>
          <rPr>
            <sz val="8"/>
            <color indexed="81"/>
            <rFont val="Tahoma"/>
            <family val="2"/>
          </rPr>
          <t xml:space="preserve">
If hours value is greater than or equal to this number (but less than the subsequent value in the table) use the corresponding fps limit.</t>
        </r>
      </text>
    </comment>
    <comment ref="D165" authorId="0">
      <text>
        <r>
          <rPr>
            <b/>
            <sz val="8"/>
            <color indexed="81"/>
            <rFont val="Tahoma"/>
            <family val="2"/>
          </rPr>
          <t>Molly McGuire:</t>
        </r>
        <r>
          <rPr>
            <sz val="8"/>
            <color indexed="81"/>
            <rFont val="Tahoma"/>
            <family val="2"/>
          </rPr>
          <t xml:space="preserve">
From RS Means Mechanical Cost Data 2008</t>
        </r>
      </text>
    </comment>
    <comment ref="F185" authorId="0">
      <text>
        <r>
          <rPr>
            <b/>
            <sz val="8"/>
            <color indexed="81"/>
            <rFont val="Tahoma"/>
            <family val="2"/>
          </rPr>
          <t>Molly McGuire:</t>
        </r>
        <r>
          <rPr>
            <sz val="8"/>
            <color indexed="81"/>
            <rFont val="Tahoma"/>
            <family val="2"/>
          </rPr>
          <t xml:space="preserve">
Based on Bell &amp; Gossett selections for models 1531, 1510, and VSC. Table values to the left reflect a 10% reduction from calculated values, as the calculated values are the maximum efficiency at that point.</t>
        </r>
      </text>
    </comment>
  </commentList>
</comments>
</file>

<file path=xl/sharedStrings.xml><?xml version="1.0" encoding="utf-8"?>
<sst xmlns="http://schemas.openxmlformats.org/spreadsheetml/2006/main" count="464" uniqueCount="307">
  <si>
    <t>SIZE</t>
  </si>
  <si>
    <t>GPM</t>
  </si>
  <si>
    <t>ELLS</t>
  </si>
  <si>
    <t>TEES</t>
  </si>
  <si>
    <t>BRANCH</t>
  </si>
  <si>
    <t>VALVES</t>
  </si>
  <si>
    <t>LINE</t>
  </si>
  <si>
    <t>PIPE INNER DIAMETERS</t>
  </si>
  <si>
    <t>O.D "</t>
  </si>
  <si>
    <t>I.D. "</t>
  </si>
  <si>
    <t>I.D. ["]</t>
  </si>
  <si>
    <t>K VALUES STEEL</t>
  </si>
  <si>
    <t>K VALUES COPPER</t>
  </si>
  <si>
    <t>TYPE COPPER=0, STEEL =1</t>
  </si>
  <si>
    <t>ELLS K FACTOR</t>
  </si>
  <si>
    <t>TEES K FACTOR</t>
  </si>
  <si>
    <t>Viscosity</t>
  </si>
  <si>
    <t>T-cubed</t>
  </si>
  <si>
    <t>T-squared</t>
  </si>
  <si>
    <t>Temperature</t>
  </si>
  <si>
    <t>Roughness</t>
  </si>
  <si>
    <t>Reynolds Number</t>
  </si>
  <si>
    <t>Fmin</t>
  </si>
  <si>
    <t>Type L COPPER</t>
  </si>
  <si>
    <t>Feet</t>
  </si>
  <si>
    <t>Friction Rate</t>
  </si>
  <si>
    <t>Psi</t>
  </si>
  <si>
    <t>Ball</t>
  </si>
  <si>
    <t>Butterfly</t>
  </si>
  <si>
    <t>Branch</t>
  </si>
  <si>
    <t>Flow rate</t>
  </si>
  <si>
    <t>Straight Pipe Length</t>
  </si>
  <si>
    <t>Inches</t>
  </si>
  <si>
    <t>Property at T=</t>
  </si>
  <si>
    <r>
      <t>32</t>
    </r>
    <r>
      <rPr>
        <sz val="12"/>
        <rFont val="Symbol"/>
        <family val="1"/>
        <charset val="2"/>
      </rPr>
      <t>°</t>
    </r>
    <r>
      <rPr>
        <sz val="12"/>
        <rFont val="Times New Roman"/>
        <family val="1"/>
      </rPr>
      <t>F</t>
    </r>
  </si>
  <si>
    <r>
      <t>77</t>
    </r>
    <r>
      <rPr>
        <sz val="12"/>
        <rFont val="Symbol"/>
        <family val="1"/>
        <charset val="2"/>
      </rPr>
      <t>°</t>
    </r>
    <r>
      <rPr>
        <sz val="12"/>
        <rFont val="Times New Roman"/>
        <family val="1"/>
      </rPr>
      <t>F</t>
    </r>
  </si>
  <si>
    <r>
      <t>212</t>
    </r>
    <r>
      <rPr>
        <sz val="12"/>
        <rFont val="Symbol"/>
        <family val="1"/>
        <charset val="2"/>
      </rPr>
      <t>°</t>
    </r>
    <r>
      <rPr>
        <sz val="12"/>
        <rFont val="Times New Roman"/>
        <family val="1"/>
      </rPr>
      <t>F</t>
    </r>
  </si>
  <si>
    <r>
      <t>c (Btu/lb</t>
    </r>
    <r>
      <rPr>
        <vertAlign val="subscript"/>
        <sz val="10"/>
        <rFont val="Arial"/>
        <family val="2"/>
      </rPr>
      <t>m</t>
    </r>
    <r>
      <rPr>
        <sz val="10"/>
        <rFont val="Arial"/>
        <family val="2"/>
      </rPr>
      <t>-°F)</t>
    </r>
  </si>
  <si>
    <r>
      <t>u (ft3/lb</t>
    </r>
    <r>
      <rPr>
        <vertAlign val="subscript"/>
        <sz val="10"/>
        <rFont val="Arial"/>
        <family val="2"/>
      </rPr>
      <t>m</t>
    </r>
    <r>
      <rPr>
        <sz val="10"/>
        <rFont val="Arial"/>
        <family val="2"/>
      </rPr>
      <t>)</t>
    </r>
  </si>
  <si>
    <t>Relative Roughness, D/E</t>
  </si>
  <si>
    <t>Re2</t>
  </si>
  <si>
    <t>Re3</t>
  </si>
  <si>
    <t>RE2</t>
  </si>
  <si>
    <t>RE3</t>
  </si>
  <si>
    <t>Reynolds Number* 10-4</t>
  </si>
  <si>
    <t>RE* E-4</t>
  </si>
  <si>
    <t>D/E Threshold for turbulent flow</t>
  </si>
  <si>
    <t>Threshold for fully turbulent rough flow</t>
  </si>
  <si>
    <t>Velocity</t>
  </si>
  <si>
    <t>Straight</t>
  </si>
  <si>
    <t>Number of Elbows</t>
  </si>
  <si>
    <t>Flow regime</t>
  </si>
  <si>
    <r>
      <t xml:space="preserve">Control Valve </t>
    </r>
    <r>
      <rPr>
        <sz val="10"/>
        <rFont val="Symbol"/>
        <family val="1"/>
        <charset val="2"/>
      </rPr>
      <t>D</t>
    </r>
    <r>
      <rPr>
        <sz val="10"/>
        <rFont val="Arial"/>
        <family val="2"/>
      </rPr>
      <t>P</t>
    </r>
  </si>
  <si>
    <t>Labor</t>
  </si>
  <si>
    <t>Materials</t>
  </si>
  <si>
    <t>City cost index multipliers</t>
  </si>
  <si>
    <t>Market</t>
  </si>
  <si>
    <t>Oakland, CA</t>
  </si>
  <si>
    <t>Size</t>
  </si>
  <si>
    <t>Mat ($/LF)</t>
  </si>
  <si>
    <t>Inst ($/LF)</t>
  </si>
  <si>
    <t>Electricity cost</t>
  </si>
  <si>
    <t>$/kWh</t>
  </si>
  <si>
    <t>Inflation rate</t>
  </si>
  <si>
    <t>kWh</t>
  </si>
  <si>
    <t>kW</t>
  </si>
  <si>
    <t>Energy Cnsmp per Year</t>
  </si>
  <si>
    <t>Annual Hours of Oper.</t>
  </si>
  <si>
    <t>h/yr</t>
  </si>
  <si>
    <t>Pump</t>
  </si>
  <si>
    <t>VS Drive</t>
  </si>
  <si>
    <t>Motor</t>
  </si>
  <si>
    <t>MATERIALS COST: ELLS</t>
  </si>
  <si>
    <t>MATERIALS COST: TEES</t>
  </si>
  <si>
    <t>MATERIALS COST: VALVES</t>
  </si>
  <si>
    <t>LABOR COST: ELLS</t>
  </si>
  <si>
    <t>LABOR COST: TEES</t>
  </si>
  <si>
    <t>LABOR COST: VALVES</t>
  </si>
  <si>
    <t>piping</t>
  </si>
  <si>
    <t>insulation</t>
  </si>
  <si>
    <t>Mat ($/ea)</t>
  </si>
  <si>
    <t>Inst ($/ea)</t>
  </si>
  <si>
    <t>90 ell</t>
  </si>
  <si>
    <t>45 ell</t>
  </si>
  <si>
    <t>Total</t>
  </si>
  <si>
    <t>Copper pipe pricing (type L)</t>
  </si>
  <si>
    <t>Swing Check</t>
  </si>
  <si>
    <t>m</t>
  </si>
  <si>
    <t>b</t>
  </si>
  <si>
    <t>Too fast?</t>
  </si>
  <si>
    <t xml:space="preserve">Noise Sensitivity </t>
  </si>
  <si>
    <t>Annl Energy Costs</t>
  </si>
  <si>
    <t>Erosion Max Velocity</t>
  </si>
  <si>
    <t>Hours/yr operation</t>
  </si>
  <si>
    <t>Max v [fps]</t>
  </si>
  <si>
    <t>tee</t>
  </si>
  <si>
    <t xml:space="preserve">Steel pipe pricing </t>
  </si>
  <si>
    <t>Silent Check</t>
  </si>
  <si>
    <t>Flow Parameters</t>
  </si>
  <si>
    <t>viscosity</t>
  </si>
  <si>
    <t>T^3 (F)</t>
  </si>
  <si>
    <t>T^2 (F)</t>
  </si>
  <si>
    <t>T (F)</t>
  </si>
  <si>
    <t>Feet/ sec</t>
  </si>
  <si>
    <t>Wye-Strainer</t>
  </si>
  <si>
    <t>Circuit Setter</t>
  </si>
  <si>
    <t>Suction Diffuser</t>
  </si>
  <si>
    <t>dP (feet)</t>
  </si>
  <si>
    <t>Cv</t>
  </si>
  <si>
    <t>Tees with flow through:</t>
  </si>
  <si>
    <t>VALVES Cv FACTOR</t>
  </si>
  <si>
    <t>Total K Factor</t>
  </si>
  <si>
    <t>Feet/ 100 ft</t>
  </si>
  <si>
    <t>Const/ Variable multiplier</t>
  </si>
  <si>
    <t>SCH 40 or STD WT STEEL</t>
  </si>
  <si>
    <t>psi</t>
  </si>
  <si>
    <t>Flow Limiting Valve</t>
  </si>
  <si>
    <t>Ball/ Butterfly</t>
  </si>
  <si>
    <t>Ball or Butterfly</t>
  </si>
  <si>
    <t>ON</t>
  </si>
  <si>
    <t>OFF</t>
  </si>
  <si>
    <t>inches</t>
  </si>
  <si>
    <t>Rough- ness</t>
  </si>
  <si>
    <t>Use Ball or Butterfly? Ball = 0, Butterfly = 1</t>
  </si>
  <si>
    <t>Flow Speed Limit to Prevent Noise?</t>
  </si>
  <si>
    <t>Flow Speed Limit to Prevent Erosion?</t>
  </si>
  <si>
    <t>Hours per year of operation</t>
  </si>
  <si>
    <t>None</t>
  </si>
  <si>
    <t>LABOR COST: PIPING</t>
  </si>
  <si>
    <t>MATERIALS COST: PIPING</t>
  </si>
  <si>
    <t>years</t>
  </si>
  <si>
    <t>Energy escalation rate</t>
  </si>
  <si>
    <t>hours</t>
  </si>
  <si>
    <t>Project Name</t>
  </si>
  <si>
    <t>System Name</t>
  </si>
  <si>
    <t>Total system flow</t>
  </si>
  <si>
    <t>Use copper piping for sizes less than or equal to:</t>
  </si>
  <si>
    <t>Outputs</t>
  </si>
  <si>
    <t>Inputs</t>
  </si>
  <si>
    <t>Segment Head</t>
  </si>
  <si>
    <t>column for vlookup</t>
  </si>
  <si>
    <t>AUTO</t>
  </si>
  <si>
    <t>Title 24</t>
  </si>
  <si>
    <t>Flow Limiting</t>
  </si>
  <si>
    <t>Flow Limiting Valve (feet)</t>
  </si>
  <si>
    <t>P drop</t>
  </si>
  <si>
    <t>First Cost</t>
  </si>
  <si>
    <t>Lifecycle Cost</t>
  </si>
  <si>
    <t>Other: Chiller/ Boiler/ Coil/ HX/ etc.</t>
  </si>
  <si>
    <t>Auto- Optimized Nominal Pipe Size</t>
  </si>
  <si>
    <t>Select Pipe Size or "AUTO"</t>
  </si>
  <si>
    <t>Pipe Size</t>
  </si>
  <si>
    <t>Segment Grouping</t>
  </si>
  <si>
    <t>rounded GPM</t>
  </si>
  <si>
    <t>Pipe Segment Description</t>
  </si>
  <si>
    <t>°F</t>
  </si>
  <si>
    <t xml:space="preserve">Temp is less than °F </t>
  </si>
  <si>
    <t>Pipe diameter is less than: (in inches)</t>
  </si>
  <si>
    <t>Insulation thickness per T24</t>
  </si>
  <si>
    <t>Fluid speed limit for noise sensitivity?</t>
  </si>
  <si>
    <t>Fluid speed limit for erosion control?</t>
  </si>
  <si>
    <t>CRITICAL</t>
  </si>
  <si>
    <t>NON-CRITICAL</t>
  </si>
  <si>
    <t>Output Summary:</t>
  </si>
  <si>
    <t>Total Head (Feet)</t>
  </si>
  <si>
    <t>Lifecycle Energy Cost</t>
  </si>
  <si>
    <t>calc'ed?</t>
  </si>
  <si>
    <t>A</t>
  </si>
  <si>
    <t>B</t>
  </si>
  <si>
    <t>f</t>
  </si>
  <si>
    <t>Relative Roughness, e/D</t>
  </si>
  <si>
    <t xml:space="preserve">Number of Valves </t>
  </si>
  <si>
    <t>Value in Range?</t>
  </si>
  <si>
    <t>Pipe ID</t>
  </si>
  <si>
    <t>Max fps</t>
  </si>
  <si>
    <t>Pipe OD</t>
  </si>
  <si>
    <t>Notes:</t>
  </si>
  <si>
    <t>Insulation  Thickness</t>
  </si>
  <si>
    <t>Calc P drop from valves (psi)</t>
  </si>
  <si>
    <t>Calc P drop from fittings (feet)</t>
  </si>
  <si>
    <t>Noise sensitivity eqn</t>
  </si>
  <si>
    <t>fps</t>
  </si>
  <si>
    <t>Total Cost</t>
  </si>
  <si>
    <t>$/therm</t>
  </si>
  <si>
    <t>System operation</t>
  </si>
  <si>
    <t>Max V for size:</t>
  </si>
  <si>
    <t>System type</t>
  </si>
  <si>
    <t>CHW</t>
  </si>
  <si>
    <t>HW</t>
  </si>
  <si>
    <t>CW</t>
  </si>
  <si>
    <t>Default Water Temperatures</t>
  </si>
  <si>
    <t>Market Lookup</t>
  </si>
  <si>
    <t>Fresno, CA</t>
  </si>
  <si>
    <t>CFCS</t>
  </si>
  <si>
    <t>VFCS</t>
  </si>
  <si>
    <t>VFVSFSP</t>
  </si>
  <si>
    <t>VFVSRSP</t>
  </si>
  <si>
    <t>Los Angeles, CA</t>
  </si>
  <si>
    <t>Variable Flow/Variable Speed Diversity Factor</t>
  </si>
  <si>
    <t>Contstant Flow/ Constant Speed</t>
  </si>
  <si>
    <t>Variable Flow/ Constant Speed</t>
  </si>
  <si>
    <t>Variable Flow/ Variable Speed with Fixed Set Point</t>
  </si>
  <si>
    <t>Variable Flow/ Variable Speed with Reset Set Point</t>
  </si>
  <si>
    <t>Gas cost (used only for HW system type)</t>
  </si>
  <si>
    <t>BHP</t>
  </si>
  <si>
    <t>HP</t>
  </si>
  <si>
    <t>Motor and VFD drive cost</t>
  </si>
  <si>
    <t>+ Pump Heat to Chiller</t>
  </si>
  <si>
    <t>- Pump Heat to Boiler</t>
  </si>
  <si>
    <t>therms</t>
  </si>
  <si>
    <t>Pump Motor Power</t>
  </si>
  <si>
    <t>Efficiencies</t>
  </si>
  <si>
    <t>Chiller</t>
  </si>
  <si>
    <t>Boiler</t>
  </si>
  <si>
    <t>kW/ton</t>
  </si>
  <si>
    <t>therms/ hr</t>
  </si>
  <si>
    <t>Total Power</t>
  </si>
  <si>
    <t>therms /hr</t>
  </si>
  <si>
    <t>MATERIALS COST: MOTOR</t>
  </si>
  <si>
    <t>MATERIALS COST: VFD</t>
  </si>
  <si>
    <t>Lifecycle + First Cost</t>
  </si>
  <si>
    <t>Multiplier for constant/variable system</t>
  </si>
  <si>
    <t>Installation</t>
  </si>
  <si>
    <t>VFD</t>
  </si>
  <si>
    <t>Greater than</t>
  </si>
  <si>
    <t>Average Water temperature</t>
  </si>
  <si>
    <t>90º</t>
  </si>
  <si>
    <t>45º</t>
  </si>
  <si>
    <t>(must click "Apply" for change to take effect)</t>
  </si>
  <si>
    <t>Economic Assumptions</t>
  </si>
  <si>
    <t>Piping Component Pricing</t>
  </si>
  <si>
    <t>Insulation Pricing: Materials</t>
  </si>
  <si>
    <t>Insulation Pricing: Installation</t>
  </si>
  <si>
    <t>Pipe size</t>
  </si>
  <si>
    <t>Insul. Thickness</t>
  </si>
  <si>
    <t>Pink cells indicate extrapolations for data points that were unavailable</t>
  </si>
  <si>
    <t>Noise/Erosion Sensitivity</t>
  </si>
  <si>
    <t>System Parameters</t>
  </si>
  <si>
    <t>Pump Efficiency eqn</t>
  </si>
  <si>
    <t>Motor (premium)</t>
  </si>
  <si>
    <t>Current value, based on calculated HP</t>
  </si>
  <si>
    <t>System and Location Defaults</t>
  </si>
  <si>
    <t>Current value, based on input system gpm</t>
  </si>
  <si>
    <t>Pipe insulation thickness (in inches)</t>
  </si>
  <si>
    <t>log(fps) =m*  log(Pipe OD) + b</t>
  </si>
  <si>
    <t>EDR Guidelines CoolTools</t>
  </si>
  <si>
    <t>Motor and VFD drive cost per HP</t>
  </si>
  <si>
    <t>Desired Insulation Wall Thickness</t>
  </si>
  <si>
    <t xml:space="preserve">Water volume in pipe </t>
  </si>
  <si>
    <t>Gal</t>
  </si>
  <si>
    <t>ADD MARKET</t>
  </si>
  <si>
    <t>Lifetime of system (&lt;=40 years)</t>
  </si>
  <si>
    <t>Safety factor</t>
  </si>
  <si>
    <t>+</t>
  </si>
  <si>
    <t>Totals</t>
  </si>
  <si>
    <t>Default safety factor: greater of</t>
  </si>
  <si>
    <t>%</t>
  </si>
  <si>
    <t>OR</t>
  </si>
  <si>
    <t>ft W.C.</t>
  </si>
  <si>
    <t>Grey cells indicate components or elements that do not exist; values are set to 999999999</t>
  </si>
  <si>
    <t>San Francisco, CA</t>
  </si>
  <si>
    <t>San Jose, CA</t>
  </si>
  <si>
    <t>Riverside, CA</t>
  </si>
  <si>
    <t>Sacramento, CA</t>
  </si>
  <si>
    <t>without Safety Factor</t>
  </si>
  <si>
    <t>with Safety Factor</t>
  </si>
  <si>
    <t>Discount rate</t>
  </si>
  <si>
    <t>Average National</t>
  </si>
  <si>
    <t>Add or delete a row above current cursor position</t>
  </si>
  <si>
    <t>eff = m * ln(gpm) + b</t>
  </si>
  <si>
    <t>fps = 10^0.5379*10^(0.5034*log(Pipe ID))</t>
  </si>
  <si>
    <t>Efficiency</t>
  </si>
  <si>
    <t>Contractor mark-up</t>
  </si>
  <si>
    <t>Taxes</t>
  </si>
  <si>
    <t>HVAC</t>
  </si>
  <si>
    <t>General</t>
  </si>
  <si>
    <t>Contractor Markup</t>
  </si>
  <si>
    <t>My Project</t>
  </si>
  <si>
    <t>Added cost escalation feature to bring 2002 Means costs to present.</t>
  </si>
  <si>
    <t>Changed display of system head, with and without safety factor.</t>
  </si>
  <si>
    <t>Current year</t>
  </si>
  <si>
    <t>Average annual first cost escalation</t>
  </si>
  <si>
    <t>Total Head w S.F. (Feet)</t>
  </si>
  <si>
    <t>Previous Cost</t>
  </si>
  <si>
    <t>Previous Size</t>
  </si>
  <si>
    <t>Version</t>
  </si>
  <si>
    <t>Update</t>
  </si>
  <si>
    <t>Requested by</t>
  </si>
  <si>
    <t>Delete the two pull downs that ask if escalation and inflation apply.  If people want no inflation they can enter a zero.</t>
  </si>
  <si>
    <t>Steve</t>
  </si>
  <si>
    <t xml:space="preserve">We need to figure out some way of detecting whether the Optimize button needs to be repressed.  Perhaps after you press the button, the button grays out and the LCC cost gets copied to a hidden cell.  Then if the LCC in cell B18 ever differs from the hidden cell value, you know that an input was changed so you can un-gray out the button, indicating that it must be repressed. </t>
  </si>
  <si>
    <t>Date Completed</t>
  </si>
  <si>
    <t>Add buttons for 189.1 and 90.1 compliance</t>
  </si>
  <si>
    <t>Red</t>
  </si>
  <si>
    <t>Red font indicates updated pricing values</t>
  </si>
  <si>
    <t xml:space="preserve"> </t>
  </si>
  <si>
    <t>Means Mechanical Cost Data year</t>
  </si>
  <si>
    <t>Enter user notes here.</t>
  </si>
  <si>
    <t>LABOR COST: MOTOR</t>
  </si>
  <si>
    <t>LABOR COST: VFD</t>
  </si>
  <si>
    <t>Scalar Ratio</t>
  </si>
  <si>
    <t>Updated to Excel 2007</t>
  </si>
  <si>
    <t>Unlocked input cells on "System Assumptions"</t>
  </si>
  <si>
    <t>Remove "optimize" button de-activation macro so that the undo command works</t>
  </si>
  <si>
    <t>Use butterfly valve for sizes greater than or equal to:</t>
  </si>
  <si>
    <t>Updated changeover from ball to butterfly valve from 2.5" to 3". Now all pipes 3" and larger will have butterfly valves, all pipes 2.5" and smaller will have ball valves. Also added a pull-down menu to the "Constants" sheet to change this in the future.
Current year updated to 2011.</t>
  </si>
  <si>
    <t>Pipe Size Optimization Tool v1.6</t>
  </si>
</sst>
</file>

<file path=xl/styles.xml><?xml version="1.0" encoding="utf-8"?>
<styleSheet xmlns="http://schemas.openxmlformats.org/spreadsheetml/2006/main">
  <numFmts count="13">
    <numFmt numFmtId="8" formatCode="&quot;$&quot;#,##0.00_);[Red]\(&quot;$&quot;#,##0.0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0%"/>
    <numFmt numFmtId="168" formatCode="0.0%"/>
    <numFmt numFmtId="169" formatCode="0.000%"/>
    <numFmt numFmtId="170" formatCode="_(&quot;$&quot;* #,##0_);_(&quot;$&quot;* \(#,##0\);_(&quot;$&quot;* &quot;-&quot;??_);_(@_)"/>
    <numFmt numFmtId="171" formatCode="0.000E+00"/>
    <numFmt numFmtId="172" formatCode="_(&quot;$&quot;* #,##0.000_);_(&quot;$&quot;* \(#,##0.000\);_(&quot;$&quot;* &quot;-&quot;??_);_(@_)"/>
    <numFmt numFmtId="173" formatCode="&quot;$&quot;#,##0.00"/>
  </numFmts>
  <fonts count="25">
    <font>
      <sz val="10"/>
      <name val="Arial"/>
    </font>
    <font>
      <sz val="10"/>
      <name val="Arial"/>
      <family val="2"/>
    </font>
    <font>
      <sz val="10"/>
      <name val="Courier New"/>
      <family val="3"/>
    </font>
    <font>
      <sz val="12"/>
      <name val="Times New Roman"/>
      <family val="1"/>
    </font>
    <font>
      <sz val="12"/>
      <name val="Symbol"/>
      <family val="1"/>
      <charset val="2"/>
    </font>
    <font>
      <sz val="10"/>
      <name val="Arial"/>
      <family val="2"/>
    </font>
    <font>
      <vertAlign val="subscript"/>
      <sz val="10"/>
      <name val="Arial"/>
      <family val="2"/>
    </font>
    <font>
      <sz val="10"/>
      <name val="Symbol"/>
      <family val="1"/>
      <charset val="2"/>
    </font>
    <font>
      <sz val="8"/>
      <color indexed="81"/>
      <name val="Tahoma"/>
      <family val="2"/>
    </font>
    <font>
      <b/>
      <sz val="10"/>
      <name val="Arial"/>
      <family val="2"/>
    </font>
    <font>
      <i/>
      <sz val="10"/>
      <name val="Arial"/>
      <family val="2"/>
    </font>
    <font>
      <sz val="8"/>
      <name val="Arial"/>
      <family val="2"/>
    </font>
    <font>
      <sz val="9"/>
      <name val="Arial"/>
      <family val="2"/>
    </font>
    <font>
      <b/>
      <i/>
      <sz val="10"/>
      <name val="Arial"/>
      <family val="2"/>
    </font>
    <font>
      <b/>
      <sz val="8"/>
      <color indexed="81"/>
      <name val="Tahoma"/>
      <family val="2"/>
    </font>
    <font>
      <sz val="10"/>
      <name val="MS Sans Serif"/>
      <family val="2"/>
    </font>
    <font>
      <sz val="8"/>
      <name val="MS Sans Serif"/>
      <family val="2"/>
    </font>
    <font>
      <b/>
      <sz val="18"/>
      <name val="MS Sans Serif"/>
      <family val="2"/>
    </font>
    <font>
      <b/>
      <sz val="10"/>
      <name val="MS Sans Serif"/>
      <family val="2"/>
    </font>
    <font>
      <i/>
      <sz val="8"/>
      <color indexed="81"/>
      <name val="Tahoma"/>
      <family val="2"/>
    </font>
    <font>
      <sz val="10"/>
      <color indexed="10"/>
      <name val="Arial"/>
      <family val="2"/>
    </font>
    <font>
      <sz val="10"/>
      <color indexed="10"/>
      <name val="Arial"/>
      <family val="2"/>
    </font>
    <font>
      <sz val="10"/>
      <color indexed="8"/>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4"/>
        <bgColor indexed="64"/>
      </patternFill>
    </fill>
    <fill>
      <patternFill patternType="solid">
        <fgColor indexed="47"/>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xf numFmtId="9" fontId="1" fillId="0" borderId="0" applyFont="0" applyFill="0" applyBorder="0" applyAlignment="0" applyProtection="0"/>
  </cellStyleXfs>
  <cellXfs count="535">
    <xf numFmtId="0" fontId="0" fillId="0" borderId="0" xfId="0"/>
    <xf numFmtId="2" fontId="0" fillId="0" borderId="0" xfId="0" applyNumberFormat="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2" fontId="0" fillId="0" borderId="9" xfId="0" applyNumberFormat="1" applyBorder="1" applyAlignment="1">
      <alignment horizontal="center"/>
    </xf>
    <xf numFmtId="12" fontId="0" fillId="0" borderId="10" xfId="0" applyNumberFormat="1" applyBorder="1" applyAlignment="1">
      <alignment horizontal="center"/>
    </xf>
    <xf numFmtId="0" fontId="0" fillId="0" borderId="0" xfId="0" applyBorder="1" applyAlignment="1">
      <alignment horizontal="center"/>
    </xf>
    <xf numFmtId="0" fontId="0" fillId="0" borderId="0" xfId="0" applyBorder="1"/>
    <xf numFmtId="12" fontId="0" fillId="0" borderId="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11"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0" fillId="0" borderId="12" xfId="0" applyBorder="1"/>
    <xf numFmtId="0" fontId="2" fillId="0" borderId="17" xfId="0" applyFont="1" applyBorder="1"/>
    <xf numFmtId="0" fontId="2" fillId="0" borderId="18" xfId="0" applyFont="1" applyBorder="1"/>
    <xf numFmtId="11" fontId="2" fillId="0" borderId="16" xfId="0" applyNumberFormat="1" applyFont="1" applyBorder="1" applyAlignment="1">
      <alignment vertical="top" wrapText="1"/>
    </xf>
    <xf numFmtId="11" fontId="2" fillId="0" borderId="19" xfId="0" applyNumberFormat="1" applyFont="1" applyBorder="1" applyAlignment="1">
      <alignment vertical="top" wrapText="1"/>
    </xf>
    <xf numFmtId="11" fontId="2" fillId="0" borderId="20" xfId="0" applyNumberFormat="1" applyFont="1" applyBorder="1" applyAlignment="1">
      <alignment vertical="top" wrapText="1"/>
    </xf>
    <xf numFmtId="0" fontId="0" fillId="0" borderId="21" xfId="0" applyBorder="1" applyAlignment="1">
      <alignment wrapText="1"/>
    </xf>
    <xf numFmtId="0" fontId="0" fillId="0" borderId="22" xfId="0" applyBorder="1"/>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0" fillId="0" borderId="25" xfId="0" applyBorder="1" applyAlignment="1">
      <alignment horizontal="center"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11" fontId="0" fillId="0" borderId="32" xfId="0" applyNumberFormat="1" applyBorder="1"/>
    <xf numFmtId="11" fontId="0" fillId="0" borderId="28" xfId="0" applyNumberFormat="1" applyBorder="1"/>
    <xf numFmtId="11" fontId="0" fillId="0" borderId="31" xfId="0" applyNumberFormat="1" applyBorder="1"/>
    <xf numFmtId="0" fontId="0" fillId="0" borderId="33" xfId="0" applyBorder="1" applyAlignment="1">
      <alignment wrapText="1"/>
    </xf>
    <xf numFmtId="11" fontId="0" fillId="0" borderId="34" xfId="0" applyNumberFormat="1" applyBorder="1"/>
    <xf numFmtId="0" fontId="0" fillId="0" borderId="33" xfId="0" applyBorder="1"/>
    <xf numFmtId="0" fontId="0" fillId="0" borderId="35" xfId="0" applyBorder="1"/>
    <xf numFmtId="11" fontId="0" fillId="0" borderId="36" xfId="0" applyNumberFormat="1" applyBorder="1"/>
    <xf numFmtId="0" fontId="0" fillId="0" borderId="11" xfId="0" applyBorder="1"/>
    <xf numFmtId="2" fontId="9" fillId="0" borderId="0" xfId="0" applyNumberFormat="1" applyFont="1"/>
    <xf numFmtId="167" fontId="0" fillId="0" borderId="0" xfId="0" applyNumberFormat="1"/>
    <xf numFmtId="0" fontId="0" fillId="0" borderId="11" xfId="0" applyBorder="1" applyAlignment="1">
      <alignment horizontal="center"/>
    </xf>
    <xf numFmtId="0" fontId="0" fillId="0" borderId="37" xfId="0" applyBorder="1" applyAlignment="1">
      <alignment horizontal="center" vertical="center"/>
    </xf>
    <xf numFmtId="0" fontId="0" fillId="0" borderId="1" xfId="0" applyFill="1" applyBorder="1" applyAlignment="1">
      <alignment horizontal="center"/>
    </xf>
    <xf numFmtId="0" fontId="0" fillId="0" borderId="11" xfId="0" applyFill="1" applyBorder="1"/>
    <xf numFmtId="12" fontId="0" fillId="0" borderId="11" xfId="0" applyNumberFormat="1" applyFill="1" applyBorder="1" applyAlignment="1">
      <alignment horizontal="center"/>
    </xf>
    <xf numFmtId="12" fontId="0" fillId="0" borderId="14" xfId="0" applyNumberFormat="1" applyFill="1" applyBorder="1" applyAlignment="1">
      <alignment horizontal="center"/>
    </xf>
    <xf numFmtId="0" fontId="2" fillId="0" borderId="38" xfId="0" applyFont="1" applyBorder="1" applyAlignment="1">
      <alignment vertical="top" wrapText="1"/>
    </xf>
    <xf numFmtId="0" fontId="2" fillId="0" borderId="39" xfId="0" applyFont="1" applyBorder="1" applyAlignment="1">
      <alignment vertical="top" wrapText="1"/>
    </xf>
    <xf numFmtId="12" fontId="0" fillId="0" borderId="0" xfId="0" applyNumberFormat="1" applyFill="1" applyBorder="1" applyAlignment="1">
      <alignment horizontal="center"/>
    </xf>
    <xf numFmtId="44" fontId="0" fillId="0" borderId="0" xfId="2" applyFont="1" applyFill="1" applyBorder="1" applyAlignment="1">
      <alignment horizontal="right"/>
    </xf>
    <xf numFmtId="0" fontId="0" fillId="0" borderId="32" xfId="0" applyNumberFormat="1" applyBorder="1" applyAlignment="1">
      <alignment horizontal="center"/>
    </xf>
    <xf numFmtId="0" fontId="0" fillId="0" borderId="36" xfId="0" applyNumberFormat="1" applyBorder="1" applyAlignment="1">
      <alignment horizontal="center"/>
    </xf>
    <xf numFmtId="0" fontId="0" fillId="0" borderId="28" xfId="0" applyNumberFormat="1" applyBorder="1" applyAlignment="1">
      <alignment horizontal="center"/>
    </xf>
    <xf numFmtId="0" fontId="0" fillId="0" borderId="31" xfId="0" applyNumberFormat="1" applyFill="1" applyBorder="1" applyAlignment="1">
      <alignment horizontal="center"/>
    </xf>
    <xf numFmtId="2" fontId="0" fillId="0" borderId="28" xfId="0" applyNumberFormat="1" applyBorder="1"/>
    <xf numFmtId="0" fontId="0" fillId="0" borderId="31" xfId="0" applyBorder="1"/>
    <xf numFmtId="0" fontId="0" fillId="0" borderId="1" xfId="0" applyBorder="1" applyProtection="1">
      <protection locked="0"/>
    </xf>
    <xf numFmtId="0" fontId="0" fillId="0" borderId="0" xfId="0" applyFill="1"/>
    <xf numFmtId="0" fontId="0" fillId="0" borderId="40" xfId="0" applyBorder="1" applyAlignment="1">
      <alignment horizontal="center" vertical="center"/>
    </xf>
    <xf numFmtId="0" fontId="0" fillId="0" borderId="41" xfId="0" applyBorder="1" applyAlignment="1">
      <alignment horizontal="center" wrapText="1"/>
    </xf>
    <xf numFmtId="0" fontId="0" fillId="0" borderId="42" xfId="0" applyBorder="1" applyAlignment="1">
      <alignment horizontal="center" wrapText="1"/>
    </xf>
    <xf numFmtId="2" fontId="0" fillId="0" borderId="1" xfId="0" applyNumberFormat="1" applyBorder="1" applyAlignment="1">
      <alignment horizontal="center"/>
    </xf>
    <xf numFmtId="12" fontId="0" fillId="0" borderId="37" xfId="0" applyNumberFormat="1" applyFill="1" applyBorder="1" applyAlignment="1">
      <alignment horizontal="center"/>
    </xf>
    <xf numFmtId="0" fontId="0" fillId="0" borderId="1" xfId="0" applyFill="1" applyBorder="1" applyProtection="1">
      <protection locked="0"/>
    </xf>
    <xf numFmtId="0" fontId="0" fillId="0" borderId="0" xfId="0" applyFill="1" applyProtection="1">
      <protection locked="0"/>
    </xf>
    <xf numFmtId="0" fontId="0" fillId="0" borderId="0" xfId="0" applyProtection="1">
      <protection locked="0"/>
    </xf>
    <xf numFmtId="0" fontId="0" fillId="0" borderId="0" xfId="0" applyBorder="1" applyProtection="1">
      <protection locked="0"/>
    </xf>
    <xf numFmtId="0" fontId="9" fillId="0" borderId="0" xfId="0" applyFont="1" applyProtection="1">
      <protection locked="0"/>
    </xf>
    <xf numFmtId="0" fontId="5" fillId="0" borderId="0" xfId="0" applyFont="1" applyFill="1" applyBorder="1" applyAlignment="1" applyProtection="1">
      <alignment horizontal="center" wrapText="1"/>
      <protection locked="0"/>
    </xf>
    <xf numFmtId="12" fontId="0" fillId="0" borderId="0" xfId="0" applyNumberFormat="1" applyProtection="1">
      <protection locked="0"/>
    </xf>
    <xf numFmtId="0" fontId="0" fillId="0" borderId="0" xfId="0" applyFill="1" applyBorder="1"/>
    <xf numFmtId="0" fontId="0" fillId="0" borderId="4" xfId="0" applyFill="1" applyBorder="1"/>
    <xf numFmtId="0" fontId="0" fillId="0" borderId="1" xfId="0" applyFill="1" applyBorder="1"/>
    <xf numFmtId="0" fontId="0" fillId="0" borderId="1" xfId="0" applyFill="1" applyBorder="1" applyAlignment="1">
      <alignment horizontal="center" wrapText="1"/>
    </xf>
    <xf numFmtId="0" fontId="0" fillId="0" borderId="4" xfId="0" applyFill="1" applyBorder="1" applyAlignment="1">
      <alignment horizontal="center" wrapText="1"/>
    </xf>
    <xf numFmtId="0" fontId="0" fillId="0" borderId="4" xfId="0"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0" fontId="0" fillId="0" borderId="4" xfId="0" applyBorder="1" applyAlignment="1"/>
    <xf numFmtId="0" fontId="1" fillId="0" borderId="0" xfId="0" applyFont="1" applyFill="1" applyAlignment="1" applyProtection="1">
      <alignment horizontal="center" wrapText="1"/>
      <protection locked="0"/>
    </xf>
    <xf numFmtId="44" fontId="1" fillId="0" borderId="0" xfId="2" applyProtection="1">
      <protection locked="0"/>
    </xf>
    <xf numFmtId="0" fontId="0" fillId="0" borderId="41" xfId="0" applyFill="1" applyBorder="1"/>
    <xf numFmtId="0" fontId="0" fillId="0" borderId="5" xfId="0" applyFill="1" applyBorder="1" applyAlignment="1">
      <alignment horizontal="center"/>
    </xf>
    <xf numFmtId="0" fontId="0" fillId="0" borderId="0" xfId="0" applyAlignment="1" applyProtection="1">
      <alignment horizontal="center"/>
      <protection locked="0"/>
    </xf>
    <xf numFmtId="0" fontId="0" fillId="0" borderId="42" xfId="0" applyFill="1" applyBorder="1"/>
    <xf numFmtId="2" fontId="0" fillId="0" borderId="0" xfId="0" applyNumberFormat="1" applyBorder="1"/>
    <xf numFmtId="2" fontId="0" fillId="0" borderId="0" xfId="0" applyNumberFormat="1" applyBorder="1" applyAlignment="1"/>
    <xf numFmtId="9" fontId="0" fillId="0" borderId="0" xfId="4" applyFont="1" applyBorder="1" applyAlignment="1"/>
    <xf numFmtId="2" fontId="9" fillId="0" borderId="0" xfId="0" applyNumberFormat="1" applyFont="1" applyBorder="1"/>
    <xf numFmtId="2" fontId="0" fillId="0" borderId="0" xfId="0" applyNumberFormat="1" applyBorder="1" applyAlignment="1">
      <alignment horizontal="left" indent="1"/>
    </xf>
    <xf numFmtId="0" fontId="0" fillId="0" borderId="0" xfId="0" applyBorder="1" applyAlignment="1">
      <alignment horizontal="left" indent="1"/>
    </xf>
    <xf numFmtId="0" fontId="0" fillId="0" borderId="0" xfId="0" applyFill="1" applyBorder="1" applyAlignment="1">
      <alignment horizontal="center"/>
    </xf>
    <xf numFmtId="44" fontId="0" fillId="0" borderId="0" xfId="2" applyFont="1" applyFill="1" applyBorder="1"/>
    <xf numFmtId="0" fontId="0" fillId="0" borderId="15" xfId="0" applyFill="1" applyBorder="1" applyAlignment="1">
      <alignment horizontal="center"/>
    </xf>
    <xf numFmtId="0" fontId="0" fillId="3" borderId="1" xfId="0" applyFill="1" applyBorder="1" applyProtection="1">
      <protection locked="0"/>
    </xf>
    <xf numFmtId="0" fontId="0" fillId="3" borderId="1" xfId="0" applyFill="1" applyBorder="1" applyAlignment="1" applyProtection="1">
      <alignment horizontal="center"/>
      <protection locked="0"/>
    </xf>
    <xf numFmtId="0" fontId="0" fillId="3" borderId="1" xfId="0" applyFill="1" applyBorder="1" applyAlignment="1">
      <alignment horizontal="right"/>
    </xf>
    <xf numFmtId="0" fontId="0" fillId="0" borderId="0" xfId="0" applyBorder="1" applyAlignment="1">
      <alignment horizontal="right"/>
    </xf>
    <xf numFmtId="2" fontId="0" fillId="0" borderId="0" xfId="0" applyNumberFormat="1" applyBorder="1" applyAlignment="1">
      <alignment horizontal="right"/>
    </xf>
    <xf numFmtId="12" fontId="0" fillId="3" borderId="1" xfId="0" applyNumberFormat="1" applyFill="1" applyBorder="1" applyAlignment="1" applyProtection="1">
      <alignment horizontal="right"/>
      <protection locked="0"/>
    </xf>
    <xf numFmtId="12" fontId="10" fillId="0" borderId="1" xfId="0" applyNumberFormat="1" applyFont="1" applyFill="1" applyBorder="1" applyAlignment="1" applyProtection="1">
      <alignment horizontal="right"/>
      <protection locked="0"/>
    </xf>
    <xf numFmtId="0" fontId="0" fillId="0" borderId="43" xfId="0" applyBorder="1" applyAlignment="1">
      <alignment horizontal="center"/>
    </xf>
    <xf numFmtId="0" fontId="0" fillId="0" borderId="44" xfId="0" applyBorder="1" applyAlignment="1">
      <alignment horizontal="center"/>
    </xf>
    <xf numFmtId="0" fontId="0" fillId="0" borderId="45" xfId="0" applyFill="1" applyBorder="1" applyAlignment="1">
      <alignment horizontal="center"/>
    </xf>
    <xf numFmtId="0" fontId="0" fillId="0" borderId="13" xfId="0" applyFill="1" applyBorder="1" applyAlignment="1">
      <alignment horizontal="center"/>
    </xf>
    <xf numFmtId="0" fontId="9" fillId="3" borderId="12" xfId="0" applyFont="1" applyFill="1" applyBorder="1" applyAlignment="1" applyProtection="1">
      <protection locked="0"/>
    </xf>
    <xf numFmtId="0" fontId="9" fillId="3" borderId="45" xfId="0" applyFont="1" applyFill="1" applyBorder="1" applyAlignment="1" applyProtection="1">
      <protection locked="0"/>
    </xf>
    <xf numFmtId="0" fontId="9" fillId="3" borderId="13" xfId="0" applyFont="1" applyFill="1" applyBorder="1" applyAlignment="1" applyProtection="1">
      <protection locked="0"/>
    </xf>
    <xf numFmtId="0" fontId="9" fillId="0" borderId="45" xfId="0" applyFont="1" applyFill="1" applyBorder="1" applyAlignment="1" applyProtection="1">
      <protection locked="0"/>
    </xf>
    <xf numFmtId="0" fontId="13" fillId="3" borderId="45" xfId="0" applyFont="1" applyFill="1" applyBorder="1" applyAlignment="1" applyProtection="1"/>
    <xf numFmtId="12" fontId="10" fillId="0" borderId="1" xfId="0" applyNumberFormat="1" applyFont="1" applyFill="1" applyBorder="1" applyAlignment="1" applyProtection="1">
      <alignment horizontal="right"/>
    </xf>
    <xf numFmtId="0" fontId="10" fillId="0" borderId="0" xfId="0" applyFont="1" applyProtection="1"/>
    <xf numFmtId="12" fontId="10" fillId="0" borderId="0" xfId="0" applyNumberFormat="1" applyFont="1" applyProtection="1"/>
    <xf numFmtId="0" fontId="5" fillId="0" borderId="46" xfId="0" applyFont="1" applyFill="1" applyBorder="1" applyAlignment="1" applyProtection="1">
      <alignment horizontal="center" wrapText="1"/>
      <protection locked="0"/>
    </xf>
    <xf numFmtId="0" fontId="1" fillId="0" borderId="46" xfId="0" applyFont="1" applyFill="1" applyBorder="1" applyAlignment="1" applyProtection="1">
      <alignment horizontal="center" wrapText="1"/>
      <protection locked="0"/>
    </xf>
    <xf numFmtId="2" fontId="0" fillId="0" borderId="0" xfId="0" applyNumberFormat="1" applyFill="1" applyBorder="1" applyProtection="1">
      <protection locked="0"/>
    </xf>
    <xf numFmtId="0" fontId="9" fillId="0" borderId="0" xfId="0" applyFont="1" applyFill="1" applyBorder="1" applyAlignment="1" applyProtection="1">
      <protection locked="0"/>
    </xf>
    <xf numFmtId="0" fontId="13" fillId="0" borderId="0" xfId="0" applyFont="1" applyFill="1" applyBorder="1" applyAlignment="1" applyProtection="1"/>
    <xf numFmtId="0" fontId="0" fillId="0" borderId="0" xfId="0" applyFill="1" applyBorder="1" applyAlignment="1">
      <alignment horizontal="right"/>
    </xf>
    <xf numFmtId="0" fontId="0" fillId="0" borderId="0" xfId="0" applyFill="1" applyBorder="1" applyAlignment="1">
      <alignment horizontal="left"/>
    </xf>
    <xf numFmtId="12" fontId="0" fillId="0" borderId="47" xfId="0" applyNumberFormat="1" applyBorder="1" applyAlignment="1"/>
    <xf numFmtId="12" fontId="0" fillId="0" borderId="48" xfId="0" applyNumberFormat="1" applyBorder="1" applyAlignment="1"/>
    <xf numFmtId="12" fontId="0" fillId="0" borderId="0" xfId="0" applyNumberFormat="1" applyBorder="1" applyAlignment="1"/>
    <xf numFmtId="0" fontId="0" fillId="0" borderId="25" xfId="0" applyBorder="1"/>
    <xf numFmtId="0" fontId="0" fillId="0" borderId="49" xfId="0" applyFill="1" applyBorder="1" applyAlignment="1">
      <alignment horizontal="left"/>
    </xf>
    <xf numFmtId="0" fontId="10" fillId="0" borderId="43" xfId="0" applyFont="1" applyBorder="1" applyAlignment="1">
      <alignment horizontal="left"/>
    </xf>
    <xf numFmtId="0" fontId="10" fillId="0" borderId="43" xfId="0" applyFont="1" applyFill="1" applyBorder="1" applyAlignment="1">
      <alignment horizontal="left"/>
    </xf>
    <xf numFmtId="0" fontId="10" fillId="0" borderId="44" xfId="0" applyFont="1" applyFill="1" applyBorder="1" applyAlignment="1">
      <alignment horizontal="left"/>
    </xf>
    <xf numFmtId="0" fontId="0" fillId="0" borderId="50" xfId="0" applyFill="1" applyBorder="1" applyAlignment="1">
      <alignment horizontal="right"/>
    </xf>
    <xf numFmtId="12" fontId="0" fillId="0" borderId="51" xfId="0" applyNumberFormat="1" applyBorder="1" applyAlignment="1">
      <alignment horizontal="left"/>
    </xf>
    <xf numFmtId="12" fontId="0" fillId="0" borderId="19" xfId="0" applyNumberFormat="1" applyBorder="1" applyAlignment="1">
      <alignment horizontal="left"/>
    </xf>
    <xf numFmtId="12" fontId="0" fillId="0" borderId="51" xfId="0" applyNumberFormat="1" applyFill="1" applyBorder="1" applyAlignment="1">
      <alignment horizontal="left"/>
    </xf>
    <xf numFmtId="12" fontId="0" fillId="0" borderId="19" xfId="0" applyNumberFormat="1" applyFill="1" applyBorder="1" applyAlignment="1">
      <alignment horizontal="left"/>
    </xf>
    <xf numFmtId="0" fontId="0" fillId="0" borderId="52" xfId="0" applyFill="1" applyBorder="1" applyAlignment="1">
      <alignment horizontal="right"/>
    </xf>
    <xf numFmtId="12" fontId="0" fillId="0" borderId="53" xfId="0" applyNumberFormat="1" applyBorder="1" applyAlignment="1">
      <alignment horizontal="left"/>
    </xf>
    <xf numFmtId="12" fontId="0" fillId="0" borderId="20" xfId="0" applyNumberFormat="1" applyBorder="1" applyAlignment="1">
      <alignment horizontal="left"/>
    </xf>
    <xf numFmtId="0" fontId="10" fillId="0" borderId="0" xfId="0" applyFont="1" applyBorder="1"/>
    <xf numFmtId="12" fontId="0" fillId="0" borderId="45" xfId="0" applyNumberFormat="1" applyBorder="1" applyAlignment="1"/>
    <xf numFmtId="12" fontId="0" fillId="0" borderId="13" xfId="0" applyNumberFormat="1" applyBorder="1" applyAlignment="1"/>
    <xf numFmtId="0" fontId="10" fillId="0" borderId="54" xfId="0" applyFont="1" applyBorder="1" applyAlignment="1">
      <alignment horizontal="left"/>
    </xf>
    <xf numFmtId="0" fontId="0" fillId="0" borderId="0" xfId="0" applyFill="1" applyBorder="1" applyProtection="1">
      <protection locked="0"/>
    </xf>
    <xf numFmtId="0" fontId="1" fillId="0" borderId="0" xfId="0" applyFont="1"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0" fontId="10" fillId="0" borderId="1" xfId="0" applyFont="1" applyFill="1" applyBorder="1" applyAlignment="1" applyProtection="1">
      <alignment horizontal="center" wrapText="1"/>
    </xf>
    <xf numFmtId="0" fontId="10" fillId="0" borderId="1" xfId="0" applyFont="1" applyFill="1" applyBorder="1" applyAlignment="1" applyProtection="1">
      <alignment horizontal="center" wrapText="1"/>
      <protection locked="0"/>
    </xf>
    <xf numFmtId="0" fontId="5" fillId="0" borderId="1" xfId="0" applyFont="1" applyFill="1" applyBorder="1" applyAlignment="1" applyProtection="1">
      <alignment horizontal="center" textRotation="180" wrapText="1"/>
      <protection locked="0"/>
    </xf>
    <xf numFmtId="0" fontId="5" fillId="0" borderId="1" xfId="0" applyFont="1" applyFill="1" applyBorder="1" applyAlignment="1" applyProtection="1">
      <alignment horizontal="left" textRotation="180" wrapText="1"/>
      <protection locked="0"/>
    </xf>
    <xf numFmtId="0" fontId="5" fillId="0" borderId="1" xfId="0" applyFont="1" applyFill="1" applyBorder="1" applyAlignment="1" applyProtection="1">
      <alignment horizontal="center" wrapText="1"/>
    </xf>
    <xf numFmtId="2" fontId="10" fillId="0" borderId="1" xfId="0" applyNumberFormat="1" applyFont="1" applyFill="1" applyBorder="1" applyAlignment="1" applyProtection="1">
      <alignment horizontal="center"/>
    </xf>
    <xf numFmtId="0" fontId="0" fillId="0" borderId="0" xfId="0" applyFill="1" applyProtection="1"/>
    <xf numFmtId="0" fontId="10" fillId="0" borderId="1" xfId="0" applyFont="1" applyFill="1" applyBorder="1" applyAlignment="1" applyProtection="1">
      <alignment horizontal="center"/>
    </xf>
    <xf numFmtId="0" fontId="0" fillId="0" borderId="0" xfId="0" applyProtection="1"/>
    <xf numFmtId="0" fontId="9" fillId="0" borderId="0" xfId="0" applyFont="1" applyFill="1" applyBorder="1" applyAlignment="1" applyProtection="1">
      <alignment horizontal="center"/>
    </xf>
    <xf numFmtId="0" fontId="1" fillId="0" borderId="55" xfId="0" applyFont="1" applyFill="1" applyBorder="1" applyAlignment="1" applyProtection="1">
      <alignment horizontal="center" wrapText="1"/>
    </xf>
    <xf numFmtId="0" fontId="9" fillId="0" borderId="48" xfId="0" applyFont="1" applyFill="1" applyBorder="1" applyAlignment="1" applyProtection="1">
      <alignment horizontal="center" wrapText="1"/>
    </xf>
    <xf numFmtId="0" fontId="5" fillId="0" borderId="11" xfId="0" applyFont="1" applyFill="1" applyBorder="1" applyAlignment="1" applyProtection="1">
      <alignment horizontal="center" wrapText="1"/>
    </xf>
    <xf numFmtId="0" fontId="1" fillId="0" borderId="1" xfId="0" applyFont="1" applyFill="1" applyBorder="1" applyAlignment="1" applyProtection="1">
      <alignment horizontal="center" wrapText="1"/>
    </xf>
    <xf numFmtId="0" fontId="1" fillId="0" borderId="1" xfId="0" applyFont="1" applyFill="1" applyBorder="1" applyAlignment="1" applyProtection="1">
      <alignment horizontal="left" wrapText="1"/>
    </xf>
    <xf numFmtId="0" fontId="9" fillId="0" borderId="4" xfId="0" applyFont="1" applyFill="1" applyBorder="1" applyAlignment="1" applyProtection="1">
      <alignment horizontal="center" wrapText="1"/>
    </xf>
    <xf numFmtId="2" fontId="9" fillId="0" borderId="0" xfId="0" applyNumberFormat="1" applyFont="1" applyFill="1" applyBorder="1" applyProtection="1"/>
    <xf numFmtId="2" fontId="0" fillId="0" borderId="0" xfId="0" applyNumberFormat="1" applyFill="1" applyBorder="1" applyProtection="1"/>
    <xf numFmtId="12" fontId="0" fillId="0" borderId="0" xfId="0" applyNumberFormat="1" applyProtection="1"/>
    <xf numFmtId="170" fontId="1" fillId="0" borderId="0" xfId="2" applyNumberFormat="1" applyProtection="1"/>
    <xf numFmtId="170" fontId="9" fillId="0" borderId="0" xfId="0" applyNumberFormat="1" applyFont="1" applyProtection="1"/>
    <xf numFmtId="0" fontId="9" fillId="0" borderId="0" xfId="0" applyFont="1" applyProtection="1"/>
    <xf numFmtId="0" fontId="0" fillId="0" borderId="0" xfId="0" applyAlignment="1" applyProtection="1">
      <alignment horizontal="center"/>
    </xf>
    <xf numFmtId="12" fontId="0" fillId="0" borderId="0" xfId="0" applyNumberFormat="1" applyAlignment="1" applyProtection="1">
      <alignment horizontal="center"/>
    </xf>
    <xf numFmtId="0" fontId="10" fillId="0" borderId="1" xfId="0" applyFont="1" applyFill="1" applyBorder="1" applyProtection="1">
      <protection locked="0"/>
    </xf>
    <xf numFmtId="0" fontId="0" fillId="0" borderId="0" xfId="0" applyBorder="1" applyProtection="1"/>
    <xf numFmtId="0" fontId="0" fillId="0" borderId="0" xfId="0" applyFill="1" applyBorder="1" applyProtection="1"/>
    <xf numFmtId="0" fontId="5" fillId="0" borderId="1" xfId="0" applyFont="1" applyFill="1" applyBorder="1" applyAlignment="1" applyProtection="1">
      <alignment horizontal="left" textRotation="180" wrapText="1"/>
    </xf>
    <xf numFmtId="44" fontId="1" fillId="0" borderId="0" xfId="2" applyProtection="1"/>
    <xf numFmtId="0" fontId="9" fillId="0" borderId="0" xfId="0" applyFont="1" applyBorder="1" applyProtection="1"/>
    <xf numFmtId="0" fontId="0" fillId="0" borderId="1" xfId="0" applyFill="1" applyBorder="1" applyProtection="1"/>
    <xf numFmtId="2" fontId="0" fillId="0" borderId="48" xfId="0" applyNumberFormat="1" applyFill="1" applyBorder="1"/>
    <xf numFmtId="2" fontId="0" fillId="0" borderId="4" xfId="0" applyNumberFormat="1" applyFill="1" applyBorder="1"/>
    <xf numFmtId="2" fontId="0" fillId="0" borderId="6" xfId="0" applyNumberFormat="1" applyFill="1" applyBorder="1"/>
    <xf numFmtId="2" fontId="0" fillId="0" borderId="1" xfId="0" applyNumberFormat="1" applyFill="1" applyBorder="1"/>
    <xf numFmtId="12" fontId="0" fillId="0" borderId="11" xfId="0" applyNumberFormat="1" applyFill="1" applyBorder="1"/>
    <xf numFmtId="12" fontId="0" fillId="0" borderId="14" xfId="0" applyNumberFormat="1" applyFill="1" applyBorder="1"/>
    <xf numFmtId="2" fontId="0" fillId="0" borderId="5" xfId="0" applyNumberFormat="1" applyFill="1" applyBorder="1"/>
    <xf numFmtId="12" fontId="0" fillId="0" borderId="0" xfId="0" applyNumberFormat="1" applyFill="1" applyBorder="1"/>
    <xf numFmtId="2" fontId="0" fillId="0" borderId="0" xfId="0" applyNumberFormat="1" applyFill="1" applyBorder="1"/>
    <xf numFmtId="0" fontId="0" fillId="0" borderId="37" xfId="0" applyFill="1" applyBorder="1"/>
    <xf numFmtId="2" fontId="0" fillId="0" borderId="41" xfId="0" applyNumberFormat="1" applyFill="1" applyBorder="1" applyAlignment="1">
      <alignment horizontal="center"/>
    </xf>
    <xf numFmtId="2" fontId="0" fillId="0" borderId="42" xfId="0" applyNumberFormat="1" applyFill="1" applyBorder="1" applyAlignment="1">
      <alignment horizontal="center"/>
    </xf>
    <xf numFmtId="12" fontId="0" fillId="0" borderId="56" xfId="0" applyNumberFormat="1" applyFill="1" applyBorder="1"/>
    <xf numFmtId="2" fontId="0" fillId="0" borderId="55" xfId="0" applyNumberFormat="1" applyFill="1" applyBorder="1"/>
    <xf numFmtId="0" fontId="9" fillId="3" borderId="0" xfId="0" applyFont="1" applyFill="1" applyBorder="1" applyAlignment="1" applyProtection="1">
      <protection locked="0"/>
    </xf>
    <xf numFmtId="0" fontId="0" fillId="3" borderId="0" xfId="0" applyFill="1" applyBorder="1" applyProtection="1"/>
    <xf numFmtId="0" fontId="0" fillId="0" borderId="7" xfId="0" applyFill="1" applyBorder="1" applyProtection="1">
      <protection locked="0"/>
    </xf>
    <xf numFmtId="44" fontId="0" fillId="4" borderId="1" xfId="2" applyFont="1" applyFill="1" applyBorder="1"/>
    <xf numFmtId="44" fontId="0" fillId="4" borderId="1" xfId="2" applyFont="1" applyFill="1" applyBorder="1" applyAlignment="1">
      <alignment horizontal="center"/>
    </xf>
    <xf numFmtId="44" fontId="0" fillId="4" borderId="1" xfId="0" applyNumberFormat="1" applyFill="1" applyBorder="1" applyAlignment="1">
      <alignment horizontal="center"/>
    </xf>
    <xf numFmtId="0" fontId="0" fillId="4" borderId="1" xfId="0" applyFill="1" applyBorder="1" applyAlignment="1">
      <alignment horizontal="center"/>
    </xf>
    <xf numFmtId="44" fontId="0" fillId="4" borderId="4" xfId="0" applyNumberFormat="1" applyFill="1" applyBorder="1"/>
    <xf numFmtId="44" fontId="0" fillId="4" borderId="6" xfId="0" applyNumberFormat="1" applyFill="1" applyBorder="1"/>
    <xf numFmtId="44" fontId="0" fillId="4" borderId="5" xfId="2" applyFont="1" applyFill="1" applyBorder="1" applyAlignment="1">
      <alignment horizontal="center"/>
    </xf>
    <xf numFmtId="1" fontId="0" fillId="4" borderId="1" xfId="0" applyNumberFormat="1" applyFill="1" applyBorder="1" applyAlignment="1">
      <alignment horizontal="center"/>
    </xf>
    <xf numFmtId="12" fontId="0" fillId="3" borderId="1" xfId="0" applyNumberFormat="1" applyFill="1" applyBorder="1" applyAlignment="1" applyProtection="1">
      <alignment horizontal="center"/>
      <protection locked="0"/>
    </xf>
    <xf numFmtId="12" fontId="10" fillId="0" borderId="1" xfId="0" applyNumberFormat="1" applyFont="1" applyFill="1" applyBorder="1" applyAlignment="1" applyProtection="1">
      <alignment horizontal="center"/>
    </xf>
    <xf numFmtId="0" fontId="5" fillId="0" borderId="0" xfId="0" applyFont="1" applyBorder="1" applyProtection="1">
      <protection locked="0"/>
    </xf>
    <xf numFmtId="12" fontId="10" fillId="0" borderId="0" xfId="0" applyNumberFormat="1" applyFont="1" applyFill="1" applyBorder="1" applyAlignment="1" applyProtection="1">
      <alignment horizontal="right"/>
    </xf>
    <xf numFmtId="166" fontId="0" fillId="0" borderId="0" xfId="1" applyNumberFormat="1" applyFont="1" applyFill="1" applyBorder="1" applyAlignment="1">
      <alignment horizontal="right"/>
    </xf>
    <xf numFmtId="0" fontId="9" fillId="0" borderId="46" xfId="0" applyFont="1" applyBorder="1" applyProtection="1">
      <protection locked="0"/>
    </xf>
    <xf numFmtId="0" fontId="0" fillId="0" borderId="46" xfId="0" applyBorder="1" applyProtection="1"/>
    <xf numFmtId="0" fontId="0" fillId="0" borderId="46" xfId="0" applyFill="1" applyBorder="1" applyProtection="1"/>
    <xf numFmtId="0" fontId="9" fillId="0" borderId="46" xfId="0" applyFont="1" applyBorder="1" applyProtection="1"/>
    <xf numFmtId="0" fontId="10" fillId="0" borderId="46" xfId="0" applyFont="1" applyBorder="1" applyProtection="1"/>
    <xf numFmtId="0" fontId="0" fillId="0" borderId="46" xfId="0" applyBorder="1" applyAlignment="1" applyProtection="1">
      <alignment horizontal="center"/>
    </xf>
    <xf numFmtId="2" fontId="9" fillId="0" borderId="46" xfId="0" applyNumberFormat="1" applyFont="1" applyFill="1" applyBorder="1" applyProtection="1"/>
    <xf numFmtId="2" fontId="0" fillId="0" borderId="46" xfId="0" applyNumberFormat="1" applyFill="1" applyBorder="1" applyProtection="1"/>
    <xf numFmtId="12" fontId="0" fillId="0" borderId="46" xfId="0" applyNumberFormat="1" applyBorder="1" applyProtection="1"/>
    <xf numFmtId="12" fontId="10" fillId="0" borderId="46" xfId="0" applyNumberFormat="1" applyFont="1" applyFill="1" applyBorder="1" applyAlignment="1" applyProtection="1">
      <alignment horizontal="right"/>
    </xf>
    <xf numFmtId="170" fontId="1" fillId="0" borderId="46" xfId="2" applyNumberFormat="1" applyBorder="1" applyProtection="1"/>
    <xf numFmtId="170" fontId="9" fillId="0" borderId="46" xfId="0" applyNumberFormat="1" applyFont="1" applyBorder="1" applyProtection="1"/>
    <xf numFmtId="0" fontId="0" fillId="3" borderId="1" xfId="1" applyNumberFormat="1" applyFont="1" applyFill="1" applyBorder="1" applyAlignment="1" applyProtection="1">
      <alignment horizontal="right"/>
      <protection locked="0"/>
    </xf>
    <xf numFmtId="0" fontId="10" fillId="0" borderId="1" xfId="0" applyFont="1" applyFill="1" applyBorder="1" applyAlignment="1">
      <alignment horizontal="right"/>
    </xf>
    <xf numFmtId="1" fontId="0" fillId="0" borderId="4" xfId="0" applyNumberFormat="1" applyFill="1" applyBorder="1"/>
    <xf numFmtId="2" fontId="0" fillId="0" borderId="14" xfId="0" applyNumberFormat="1" applyBorder="1"/>
    <xf numFmtId="1" fontId="0" fillId="0" borderId="6" xfId="0" applyNumberFormat="1" applyBorder="1"/>
    <xf numFmtId="0" fontId="10" fillId="0" borderId="0" xfId="0" applyFont="1" applyFill="1" applyBorder="1" applyAlignment="1">
      <alignment horizontal="left" indent="1"/>
    </xf>
    <xf numFmtId="0" fontId="0" fillId="3" borderId="1" xfId="0" applyFill="1" applyBorder="1" applyAlignment="1" applyProtection="1">
      <alignment horizontal="right"/>
      <protection locked="0"/>
    </xf>
    <xf numFmtId="2" fontId="0" fillId="3" borderId="1" xfId="0" applyNumberFormat="1" applyFill="1" applyBorder="1" applyAlignment="1" applyProtection="1">
      <alignment horizontal="right"/>
      <protection locked="0"/>
    </xf>
    <xf numFmtId="168" fontId="0" fillId="3" borderId="1" xfId="4" applyNumberFormat="1" applyFont="1" applyFill="1" applyBorder="1" applyAlignment="1" applyProtection="1">
      <alignment horizontal="right"/>
      <protection locked="0"/>
    </xf>
    <xf numFmtId="0" fontId="0" fillId="0" borderId="1" xfId="0" applyBorder="1"/>
    <xf numFmtId="166" fontId="0" fillId="0" borderId="33" xfId="1" applyNumberFormat="1" applyFont="1" applyBorder="1"/>
    <xf numFmtId="0" fontId="0" fillId="0" borderId="54" xfId="0" applyBorder="1"/>
    <xf numFmtId="2" fontId="0" fillId="0" borderId="11" xfId="0" applyNumberFormat="1" applyBorder="1"/>
    <xf numFmtId="0" fontId="0" fillId="0" borderId="11" xfId="1" applyNumberFormat="1" applyFont="1" applyBorder="1" applyAlignment="1">
      <alignment horizontal="left"/>
    </xf>
    <xf numFmtId="0" fontId="0" fillId="0" borderId="14" xfId="1" applyNumberFormat="1" applyFont="1" applyBorder="1" applyAlignment="1">
      <alignment horizontal="left"/>
    </xf>
    <xf numFmtId="0" fontId="0" fillId="0" borderId="5" xfId="0" applyBorder="1"/>
    <xf numFmtId="0" fontId="0" fillId="0" borderId="6" xfId="0" applyBorder="1"/>
    <xf numFmtId="2" fontId="0" fillId="0" borderId="33" xfId="0" applyNumberFormat="1" applyBorder="1"/>
    <xf numFmtId="0" fontId="0" fillId="0" borderId="35" xfId="0" applyBorder="1" applyAlignment="1">
      <alignment horizontal="center"/>
    </xf>
    <xf numFmtId="0" fontId="0" fillId="0" borderId="36" xfId="0" applyBorder="1" applyAlignment="1">
      <alignment horizontal="center"/>
    </xf>
    <xf numFmtId="2" fontId="0" fillId="0" borderId="32" xfId="0" applyNumberFormat="1" applyBorder="1"/>
    <xf numFmtId="0" fontId="0" fillId="0" borderId="36" xfId="0" applyBorder="1"/>
    <xf numFmtId="0" fontId="0" fillId="0" borderId="57" xfId="0" applyBorder="1"/>
    <xf numFmtId="0" fontId="1" fillId="0" borderId="55" xfId="0" quotePrefix="1" applyFont="1" applyFill="1" applyBorder="1" applyAlignment="1" applyProtection="1">
      <alignment horizontal="center" wrapText="1"/>
    </xf>
    <xf numFmtId="0" fontId="10" fillId="0" borderId="57" xfId="0" applyFont="1" applyBorder="1"/>
    <xf numFmtId="0" fontId="10" fillId="0" borderId="31" xfId="0" applyFont="1" applyBorder="1"/>
    <xf numFmtId="44" fontId="10" fillId="0" borderId="0" xfId="2" applyFont="1" applyBorder="1"/>
    <xf numFmtId="44" fontId="10" fillId="0" borderId="36" xfId="2" applyFont="1" applyBorder="1"/>
    <xf numFmtId="44" fontId="10" fillId="4" borderId="57" xfId="2" applyFont="1" applyFill="1" applyBorder="1"/>
    <xf numFmtId="2" fontId="10" fillId="0" borderId="28" xfId="0" applyNumberFormat="1" applyFont="1" applyBorder="1"/>
    <xf numFmtId="0" fontId="0" fillId="0" borderId="36" xfId="0" applyFill="1" applyBorder="1" applyAlignment="1">
      <alignment horizontal="center"/>
    </xf>
    <xf numFmtId="170" fontId="10" fillId="4" borderId="57" xfId="2" applyNumberFormat="1" applyFont="1" applyFill="1" applyBorder="1"/>
    <xf numFmtId="170" fontId="10" fillId="4" borderId="57" xfId="0" applyNumberFormat="1" applyFont="1" applyFill="1" applyBorder="1"/>
    <xf numFmtId="170" fontId="10" fillId="4" borderId="31" xfId="2" applyNumberFormat="1" applyFont="1" applyFill="1" applyBorder="1"/>
    <xf numFmtId="0" fontId="5" fillId="0" borderId="0" xfId="0" applyFont="1" applyAlignment="1">
      <alignment horizontal="right"/>
    </xf>
    <xf numFmtId="164" fontId="10" fillId="0" borderId="1" xfId="0" applyNumberFormat="1" applyFont="1" applyFill="1" applyBorder="1" applyAlignment="1" applyProtection="1">
      <alignment horizontal="right"/>
    </xf>
    <xf numFmtId="0" fontId="9" fillId="0" borderId="0" xfId="0" applyFont="1" applyFill="1" applyBorder="1" applyProtection="1"/>
    <xf numFmtId="0" fontId="0" fillId="4" borderId="5" xfId="0" applyFill="1" applyBorder="1" applyAlignment="1">
      <alignment horizontal="center"/>
    </xf>
    <xf numFmtId="9" fontId="0" fillId="0" borderId="0" xfId="0" applyNumberFormat="1" applyFill="1" applyBorder="1"/>
    <xf numFmtId="12" fontId="0" fillId="0" borderId="0" xfId="0" applyNumberFormat="1" applyFill="1" applyBorder="1" applyAlignment="1">
      <alignment horizontal="left"/>
    </xf>
    <xf numFmtId="12" fontId="0" fillId="0" borderId="33" xfId="0" applyNumberFormat="1" applyFill="1" applyBorder="1" applyAlignment="1">
      <alignment horizontal="center"/>
    </xf>
    <xf numFmtId="44" fontId="0" fillId="0" borderId="54" xfId="2" applyFont="1" applyFill="1" applyBorder="1" applyAlignment="1">
      <alignment horizontal="right"/>
    </xf>
    <xf numFmtId="44" fontId="0" fillId="0" borderId="35" xfId="2" applyFont="1" applyFill="1" applyBorder="1" applyAlignment="1">
      <alignment horizontal="right"/>
    </xf>
    <xf numFmtId="43" fontId="0" fillId="0" borderId="36" xfId="1" applyFont="1" applyFill="1" applyBorder="1" applyAlignment="1">
      <alignment horizontal="right"/>
    </xf>
    <xf numFmtId="43" fontId="0" fillId="0" borderId="36" xfId="1" applyFont="1" applyBorder="1" applyAlignment="1">
      <alignment horizontal="center"/>
    </xf>
    <xf numFmtId="43" fontId="0" fillId="0" borderId="36" xfId="1" applyFont="1" applyBorder="1"/>
    <xf numFmtId="12" fontId="0" fillId="0" borderId="28" xfId="0" applyNumberFormat="1" applyFill="1" applyBorder="1"/>
    <xf numFmtId="2" fontId="0" fillId="0" borderId="57" xfId="0" applyNumberFormat="1" applyFill="1" applyBorder="1"/>
    <xf numFmtId="0" fontId="0" fillId="0" borderId="57" xfId="0" applyBorder="1" applyAlignment="1">
      <alignment horizontal="center"/>
    </xf>
    <xf numFmtId="12" fontId="0" fillId="0" borderId="57" xfId="0" applyNumberFormat="1" applyBorder="1" applyAlignment="1">
      <alignment horizontal="center"/>
    </xf>
    <xf numFmtId="44" fontId="0" fillId="4" borderId="0" xfId="2" applyFont="1" applyFill="1" applyBorder="1"/>
    <xf numFmtId="12" fontId="0" fillId="0" borderId="32" xfId="0" applyNumberFormat="1" applyFill="1" applyBorder="1" applyAlignment="1">
      <alignment horizontal="center"/>
    </xf>
    <xf numFmtId="44" fontId="0" fillId="0" borderId="36" xfId="0" applyNumberFormat="1" applyFill="1" applyBorder="1"/>
    <xf numFmtId="44" fontId="0" fillId="4" borderId="4" xfId="2" applyFont="1" applyFill="1" applyBorder="1" applyAlignment="1">
      <alignment horizontal="right"/>
    </xf>
    <xf numFmtId="44" fontId="0" fillId="4" borderId="16" xfId="2" applyFont="1" applyFill="1" applyBorder="1" applyAlignment="1">
      <alignment horizontal="right"/>
    </xf>
    <xf numFmtId="0" fontId="0" fillId="2" borderId="4" xfId="0" applyFill="1" applyBorder="1" applyAlignment="1">
      <alignment horizontal="center"/>
    </xf>
    <xf numFmtId="12" fontId="0" fillId="0" borderId="28" xfId="0" applyNumberFormat="1" applyFill="1" applyBorder="1" applyAlignment="1">
      <alignment horizontal="center"/>
    </xf>
    <xf numFmtId="44" fontId="0" fillId="0" borderId="57" xfId="2" applyFont="1" applyFill="1" applyBorder="1" applyAlignment="1">
      <alignment horizontal="right"/>
    </xf>
    <xf numFmtId="0" fontId="0" fillId="0" borderId="49" xfId="0" applyBorder="1" applyAlignment="1">
      <alignment horizontal="left"/>
    </xf>
    <xf numFmtId="0" fontId="0" fillId="0" borderId="12" xfId="0" applyFill="1" applyBorder="1" applyAlignment="1">
      <alignment horizontal="left"/>
    </xf>
    <xf numFmtId="44" fontId="0" fillId="0" borderId="0" xfId="2" applyFont="1" applyFill="1" applyBorder="1" applyAlignment="1">
      <alignment horizontal="center"/>
    </xf>
    <xf numFmtId="0" fontId="0" fillId="0" borderId="32" xfId="0" applyBorder="1"/>
    <xf numFmtId="0" fontId="10" fillId="2" borderId="45" xfId="0" applyFont="1" applyFill="1" applyBorder="1"/>
    <xf numFmtId="0" fontId="10" fillId="2" borderId="13" xfId="0" applyFont="1" applyFill="1" applyBorder="1"/>
    <xf numFmtId="0" fontId="10" fillId="2" borderId="0" xfId="0" applyFont="1" applyFill="1" applyBorder="1"/>
    <xf numFmtId="0" fontId="10" fillId="2" borderId="36" xfId="0" applyFont="1" applyFill="1" applyBorder="1"/>
    <xf numFmtId="12" fontId="10" fillId="0" borderId="56" xfId="0" applyNumberFormat="1" applyFont="1" applyFill="1" applyBorder="1" applyAlignment="1">
      <alignment horizontal="center"/>
    </xf>
    <xf numFmtId="12" fontId="10" fillId="0" borderId="15" xfId="0" applyNumberFormat="1" applyFont="1" applyFill="1" applyBorder="1" applyAlignment="1">
      <alignment horizontal="center"/>
    </xf>
    <xf numFmtId="0" fontId="0" fillId="2" borderId="6" xfId="0" applyFill="1" applyBorder="1" applyAlignment="1">
      <alignment horizontal="center"/>
    </xf>
    <xf numFmtId="2" fontId="0" fillId="2" borderId="0" xfId="0" applyNumberFormat="1" applyFill="1"/>
    <xf numFmtId="2" fontId="0" fillId="4" borderId="0" xfId="0" applyNumberFormat="1" applyFill="1"/>
    <xf numFmtId="43" fontId="0" fillId="0" borderId="0" xfId="1" applyFont="1" applyBorder="1"/>
    <xf numFmtId="12" fontId="0" fillId="0" borderId="1" xfId="0" applyNumberFormat="1" applyFill="1" applyBorder="1" applyAlignment="1" applyProtection="1">
      <alignment horizontal="right"/>
      <protection locked="0"/>
    </xf>
    <xf numFmtId="9" fontId="0" fillId="0" borderId="36" xfId="0" applyNumberFormat="1" applyBorder="1"/>
    <xf numFmtId="9" fontId="0" fillId="0" borderId="31" xfId="0" applyNumberFormat="1" applyBorder="1"/>
    <xf numFmtId="2" fontId="5" fillId="0" borderId="28" xfId="0" applyNumberFormat="1" applyFont="1" applyBorder="1"/>
    <xf numFmtId="168" fontId="0" fillId="0" borderId="36" xfId="0" applyNumberFormat="1" applyBorder="1"/>
    <xf numFmtId="168" fontId="0" fillId="0" borderId="31" xfId="0" applyNumberFormat="1" applyBorder="1"/>
    <xf numFmtId="43" fontId="0" fillId="0" borderId="1" xfId="1" applyFont="1" applyFill="1" applyBorder="1" applyAlignment="1" applyProtection="1">
      <alignment horizontal="right"/>
      <protection locked="0"/>
    </xf>
    <xf numFmtId="9" fontId="0" fillId="0" borderId="1" xfId="4" applyFont="1" applyFill="1" applyBorder="1" applyAlignment="1" applyProtection="1">
      <alignment horizontal="right"/>
      <protection locked="0"/>
    </xf>
    <xf numFmtId="0" fontId="10" fillId="0" borderId="0" xfId="0" applyFont="1" applyBorder="1" applyAlignment="1">
      <alignment horizontal="left" indent="1"/>
    </xf>
    <xf numFmtId="0" fontId="10" fillId="0" borderId="58" xfId="0" applyFont="1" applyBorder="1" applyProtection="1"/>
    <xf numFmtId="44" fontId="10" fillId="0" borderId="59" xfId="2" applyFont="1" applyFill="1" applyBorder="1" applyAlignment="1" applyProtection="1">
      <alignment horizontal="left"/>
    </xf>
    <xf numFmtId="0" fontId="10" fillId="0" borderId="59" xfId="0" applyFont="1" applyBorder="1" applyProtection="1"/>
    <xf numFmtId="0" fontId="10" fillId="0" borderId="60" xfId="0" applyFont="1" applyBorder="1" applyProtection="1"/>
    <xf numFmtId="0" fontId="10" fillId="0" borderId="61" xfId="0" applyFont="1" applyBorder="1" applyProtection="1"/>
    <xf numFmtId="44" fontId="10" fillId="0" borderId="0" xfId="2" applyFont="1" applyFill="1" applyBorder="1" applyAlignment="1" applyProtection="1">
      <alignment horizontal="right"/>
    </xf>
    <xf numFmtId="0" fontId="10" fillId="0" borderId="0" xfId="0" applyFont="1" applyBorder="1" applyAlignment="1" applyProtection="1">
      <alignment horizontal="left"/>
    </xf>
    <xf numFmtId="0" fontId="10" fillId="0" borderId="0" xfId="0" applyFont="1" applyBorder="1" applyAlignment="1" applyProtection="1">
      <alignment horizontal="right"/>
    </xf>
    <xf numFmtId="0" fontId="10" fillId="0" borderId="62" xfId="0" applyFont="1" applyBorder="1" applyProtection="1"/>
    <xf numFmtId="0" fontId="10" fillId="0" borderId="0" xfId="0" applyFont="1" applyBorder="1" applyProtection="1"/>
    <xf numFmtId="44" fontId="10" fillId="0" borderId="0" xfId="2" applyFont="1" applyFill="1" applyBorder="1" applyAlignment="1" applyProtection="1">
      <alignment horizontal="left"/>
    </xf>
    <xf numFmtId="0" fontId="10" fillId="0" borderId="23" xfId="0" applyFont="1" applyBorder="1" applyProtection="1"/>
    <xf numFmtId="44" fontId="10" fillId="0" borderId="46" xfId="2" applyFont="1" applyFill="1" applyBorder="1" applyAlignment="1" applyProtection="1">
      <alignment horizontal="left"/>
    </xf>
    <xf numFmtId="0" fontId="10" fillId="0" borderId="63" xfId="0" applyFont="1" applyBorder="1" applyProtection="1"/>
    <xf numFmtId="9" fontId="10" fillId="0" borderId="1" xfId="4" applyFont="1" applyFill="1" applyBorder="1" applyAlignment="1" applyProtection="1">
      <alignment horizontal="right"/>
    </xf>
    <xf numFmtId="168" fontId="10" fillId="0" borderId="1" xfId="4" applyNumberFormat="1" applyFont="1" applyFill="1" applyBorder="1" applyAlignment="1" applyProtection="1">
      <alignment horizontal="right"/>
    </xf>
    <xf numFmtId="9" fontId="10" fillId="0" borderId="0" xfId="0" applyNumberFormat="1" applyFont="1" applyBorder="1" applyAlignment="1" applyProtection="1">
      <alignment horizontal="right"/>
    </xf>
    <xf numFmtId="171" fontId="10" fillId="0" borderId="0" xfId="0" applyNumberFormat="1" applyFont="1" applyBorder="1" applyProtection="1"/>
    <xf numFmtId="9" fontId="10" fillId="0" borderId="46" xfId="4" applyFont="1" applyBorder="1" applyProtection="1"/>
    <xf numFmtId="0" fontId="0" fillId="0" borderId="32" xfId="0" applyBorder="1" applyAlignment="1">
      <alignment horizontal="left" indent="1"/>
    </xf>
    <xf numFmtId="0" fontId="0" fillId="0" borderId="54" xfId="0" applyBorder="1" applyAlignment="1">
      <alignment horizontal="center"/>
    </xf>
    <xf numFmtId="0" fontId="0" fillId="0" borderId="54" xfId="0" applyBorder="1" applyAlignment="1">
      <alignment wrapText="1"/>
    </xf>
    <xf numFmtId="0" fontId="0" fillId="0" borderId="36" xfId="0" applyFill="1" applyBorder="1"/>
    <xf numFmtId="12" fontId="0" fillId="0" borderId="32" xfId="0" applyNumberFormat="1" applyBorder="1" applyAlignment="1">
      <alignment horizontal="center"/>
    </xf>
    <xf numFmtId="169" fontId="0" fillId="0" borderId="36" xfId="0" applyNumberFormat="1" applyFill="1" applyBorder="1"/>
    <xf numFmtId="2" fontId="0" fillId="0" borderId="32" xfId="0" applyNumberFormat="1" applyFill="1" applyBorder="1"/>
    <xf numFmtId="2" fontId="10" fillId="0" borderId="0" xfId="0" applyNumberFormat="1" applyFont="1" applyBorder="1"/>
    <xf numFmtId="12" fontId="0" fillId="0" borderId="33" xfId="0" applyNumberFormat="1" applyFill="1" applyBorder="1"/>
    <xf numFmtId="2" fontId="0" fillId="0" borderId="54" xfId="0" applyNumberFormat="1" applyFill="1" applyBorder="1"/>
    <xf numFmtId="167" fontId="0" fillId="0" borderId="54" xfId="0" applyNumberFormat="1" applyBorder="1"/>
    <xf numFmtId="43" fontId="10" fillId="0" borderId="0" xfId="1" applyFont="1" applyFill="1" applyBorder="1" applyAlignment="1" applyProtection="1">
      <alignment horizontal="left"/>
    </xf>
    <xf numFmtId="9" fontId="10" fillId="0" borderId="0" xfId="4" applyFont="1" applyFill="1" applyBorder="1" applyAlignment="1" applyProtection="1">
      <alignment horizontal="left"/>
    </xf>
    <xf numFmtId="0" fontId="0" fillId="0" borderId="61" xfId="0" applyBorder="1"/>
    <xf numFmtId="0" fontId="0" fillId="0" borderId="62" xfId="0" applyBorder="1"/>
    <xf numFmtId="0" fontId="0" fillId="0" borderId="23" xfId="0" applyBorder="1"/>
    <xf numFmtId="0" fontId="10" fillId="0" borderId="46" xfId="0" applyFont="1" applyBorder="1" applyAlignment="1">
      <alignment horizontal="left"/>
    </xf>
    <xf numFmtId="0" fontId="0" fillId="0" borderId="46" xfId="0" applyBorder="1"/>
    <xf numFmtId="0" fontId="0" fillId="0" borderId="63" xfId="0" applyBorder="1"/>
    <xf numFmtId="43" fontId="10" fillId="0" borderId="0" xfId="1" applyFont="1" applyBorder="1"/>
    <xf numFmtId="0" fontId="17" fillId="0" borderId="0" xfId="3" applyFont="1"/>
    <xf numFmtId="0" fontId="15" fillId="0" borderId="0" xfId="3"/>
    <xf numFmtId="0" fontId="5" fillId="0" borderId="55" xfId="0" applyFont="1" applyFill="1" applyBorder="1" applyAlignment="1" applyProtection="1">
      <alignment horizontal="center" wrapText="1"/>
    </xf>
    <xf numFmtId="0" fontId="5" fillId="0" borderId="54" xfId="0" applyFont="1" applyFill="1" applyBorder="1" applyAlignment="1" applyProtection="1">
      <alignment horizontal="center" wrapText="1"/>
      <protection locked="0"/>
    </xf>
    <xf numFmtId="0" fontId="5" fillId="0" borderId="35" xfId="0" applyFont="1" applyFill="1" applyBorder="1" applyAlignment="1" applyProtection="1">
      <alignment horizontal="center" wrapText="1"/>
      <protection locked="0"/>
    </xf>
    <xf numFmtId="0" fontId="0" fillId="0" borderId="0" xfId="0" applyBorder="1" applyAlignment="1" applyProtection="1">
      <alignment horizontal="center"/>
    </xf>
    <xf numFmtId="0" fontId="5" fillId="0" borderId="43" xfId="0" applyFont="1" applyFill="1" applyBorder="1" applyAlignment="1" applyProtection="1">
      <alignment horizontal="center" wrapText="1"/>
    </xf>
    <xf numFmtId="0" fontId="5" fillId="0" borderId="0" xfId="0" applyFont="1" applyFill="1" applyBorder="1" applyAlignment="1" applyProtection="1">
      <alignment horizontal="center" wrapText="1"/>
    </xf>
    <xf numFmtId="44" fontId="9" fillId="0" borderId="0" xfId="2" applyFont="1" applyFill="1" applyBorder="1" applyProtection="1"/>
    <xf numFmtId="44" fontId="1" fillId="0" borderId="0" xfId="2" applyBorder="1" applyProtection="1"/>
    <xf numFmtId="166" fontId="9" fillId="0" borderId="0" xfId="1" applyNumberFormat="1" applyFont="1" applyFill="1" applyBorder="1" applyProtection="1"/>
    <xf numFmtId="0" fontId="10" fillId="0" borderId="0" xfId="0" applyFont="1" applyFill="1" applyBorder="1" applyProtection="1"/>
    <xf numFmtId="0" fontId="0" fillId="0" borderId="0" xfId="0" applyFill="1" applyBorder="1" applyAlignment="1" applyProtection="1">
      <alignment horizontal="center"/>
    </xf>
    <xf numFmtId="12" fontId="0" fillId="0" borderId="0" xfId="0" applyNumberFormat="1" applyFill="1" applyBorder="1" applyProtection="1"/>
    <xf numFmtId="170" fontId="1" fillId="0" borderId="0" xfId="2" applyNumberFormat="1" applyFill="1" applyBorder="1" applyProtection="1"/>
    <xf numFmtId="170" fontId="9" fillId="0" borderId="0" xfId="0" applyNumberFormat="1" applyFont="1" applyFill="1" applyBorder="1" applyProtection="1"/>
    <xf numFmtId="2" fontId="10" fillId="0" borderId="0" xfId="0" applyNumberFormat="1" applyFont="1" applyFill="1" applyBorder="1" applyProtection="1"/>
    <xf numFmtId="2" fontId="13" fillId="0" borderId="0" xfId="0" applyNumberFormat="1" applyFont="1" applyFill="1" applyBorder="1" applyProtection="1"/>
    <xf numFmtId="0" fontId="10" fillId="0" borderId="0" xfId="0" applyFont="1" applyFill="1" applyBorder="1"/>
    <xf numFmtId="0" fontId="13" fillId="0" borderId="0" xfId="0" applyFont="1" applyFill="1" applyBorder="1" applyProtection="1"/>
    <xf numFmtId="44" fontId="10" fillId="4" borderId="31" xfId="2" applyFont="1" applyFill="1" applyBorder="1"/>
    <xf numFmtId="0" fontId="10" fillId="0" borderId="57" xfId="0" applyFont="1" applyFill="1" applyBorder="1"/>
    <xf numFmtId="2" fontId="10" fillId="0" borderId="21" xfId="0" applyNumberFormat="1" applyFont="1" applyBorder="1"/>
    <xf numFmtId="2" fontId="10" fillId="0" borderId="34" xfId="0" applyNumberFormat="1" applyFont="1" applyBorder="1"/>
    <xf numFmtId="168" fontId="0" fillId="0" borderId="0" xfId="0" applyNumberFormat="1" applyBorder="1"/>
    <xf numFmtId="168" fontId="0" fillId="0" borderId="0" xfId="0" applyNumberFormat="1" applyFill="1" applyBorder="1"/>
    <xf numFmtId="0" fontId="0" fillId="4" borderId="4" xfId="0" applyFill="1" applyBorder="1" applyAlignment="1">
      <alignment horizontal="center"/>
    </xf>
    <xf numFmtId="9" fontId="0" fillId="0" borderId="0" xfId="0" applyNumberFormat="1" applyBorder="1"/>
    <xf numFmtId="9" fontId="0" fillId="0" borderId="35" xfId="0" applyNumberFormat="1" applyBorder="1"/>
    <xf numFmtId="12" fontId="0" fillId="0" borderId="32" xfId="0" applyNumberFormat="1" applyBorder="1"/>
    <xf numFmtId="13" fontId="0" fillId="0" borderId="32" xfId="0" applyNumberFormat="1" applyBorder="1"/>
    <xf numFmtId="0" fontId="10" fillId="0" borderId="0" xfId="2" applyNumberFormat="1" applyFont="1" applyBorder="1"/>
    <xf numFmtId="0" fontId="0" fillId="0" borderId="57" xfId="0" applyFill="1" applyBorder="1" applyAlignment="1">
      <alignment horizontal="center"/>
    </xf>
    <xf numFmtId="0" fontId="0" fillId="0" borderId="31" xfId="0" applyFill="1" applyBorder="1" applyAlignment="1">
      <alignment horizontal="center"/>
    </xf>
    <xf numFmtId="9" fontId="0" fillId="3" borderId="1" xfId="4" applyFont="1" applyFill="1" applyBorder="1" applyAlignment="1" applyProtection="1">
      <alignment horizontal="right"/>
      <protection locked="0"/>
    </xf>
    <xf numFmtId="164" fontId="10" fillId="0" borderId="0" xfId="0" applyNumberFormat="1" applyFont="1" applyFill="1" applyBorder="1" applyAlignment="1" applyProtection="1">
      <alignment horizontal="right"/>
    </xf>
    <xf numFmtId="0" fontId="0" fillId="0" borderId="0" xfId="0" applyBorder="1" applyAlignment="1">
      <alignment horizontal="left"/>
    </xf>
    <xf numFmtId="165" fontId="0" fillId="5" borderId="1" xfId="1" applyNumberFormat="1" applyFont="1" applyFill="1" applyBorder="1" applyProtection="1"/>
    <xf numFmtId="164" fontId="0" fillId="5" borderId="7" xfId="0" applyNumberFormat="1" applyFill="1" applyBorder="1" applyProtection="1"/>
    <xf numFmtId="164" fontId="0" fillId="5" borderId="64" xfId="0" applyNumberFormat="1" applyFill="1" applyBorder="1" applyProtection="1"/>
    <xf numFmtId="166" fontId="0" fillId="5" borderId="1" xfId="1" applyNumberFormat="1" applyFont="1" applyFill="1" applyBorder="1" applyProtection="1"/>
    <xf numFmtId="0" fontId="0" fillId="5" borderId="1" xfId="0" applyFill="1" applyBorder="1" applyProtection="1"/>
    <xf numFmtId="2" fontId="0" fillId="5" borderId="1" xfId="0" applyNumberFormat="1" applyFill="1" applyBorder="1" applyProtection="1"/>
    <xf numFmtId="1" fontId="0" fillId="5" borderId="1" xfId="0" applyNumberFormat="1" applyFill="1" applyBorder="1" applyProtection="1"/>
    <xf numFmtId="12" fontId="0" fillId="5" borderId="1" xfId="0" applyNumberFormat="1" applyFill="1" applyBorder="1" applyProtection="1"/>
    <xf numFmtId="44" fontId="0" fillId="5" borderId="1" xfId="2" applyFont="1" applyFill="1" applyBorder="1" applyProtection="1"/>
    <xf numFmtId="170" fontId="0" fillId="5" borderId="1" xfId="2" applyNumberFormat="1" applyFont="1" applyFill="1" applyBorder="1" applyProtection="1"/>
    <xf numFmtId="170" fontId="1" fillId="5" borderId="1" xfId="2" applyNumberFormat="1" applyFill="1" applyBorder="1" applyProtection="1"/>
    <xf numFmtId="170" fontId="9" fillId="5" borderId="4" xfId="0" applyNumberFormat="1" applyFont="1" applyFill="1" applyBorder="1" applyProtection="1"/>
    <xf numFmtId="43" fontId="9" fillId="5" borderId="65" xfId="1" applyNumberFormat="1" applyFont="1" applyFill="1" applyBorder="1" applyProtection="1"/>
    <xf numFmtId="166" fontId="9" fillId="5" borderId="10" xfId="1" applyNumberFormat="1" applyFont="1" applyFill="1" applyBorder="1" applyProtection="1"/>
    <xf numFmtId="166" fontId="9" fillId="5" borderId="34" xfId="1" applyNumberFormat="1" applyFont="1" applyFill="1" applyBorder="1" applyProtection="1"/>
    <xf numFmtId="2" fontId="9" fillId="5" borderId="34" xfId="0" applyNumberFormat="1" applyFont="1" applyFill="1" applyBorder="1" applyProtection="1"/>
    <xf numFmtId="2" fontId="9" fillId="5" borderId="25" xfId="0" applyNumberFormat="1" applyFont="1" applyFill="1" applyBorder="1" applyProtection="1"/>
    <xf numFmtId="170" fontId="9" fillId="5" borderId="38" xfId="0" applyNumberFormat="1" applyFont="1" applyFill="1" applyBorder="1" applyProtection="1"/>
    <xf numFmtId="170" fontId="9" fillId="5" borderId="30" xfId="0" applyNumberFormat="1" applyFont="1" applyFill="1" applyBorder="1" applyProtection="1"/>
    <xf numFmtId="170" fontId="9" fillId="5" borderId="39" xfId="0" applyNumberFormat="1" applyFont="1" applyFill="1" applyBorder="1" applyProtection="1"/>
    <xf numFmtId="170" fontId="9" fillId="5" borderId="4" xfId="0" applyNumberFormat="1" applyFont="1" applyFill="1" applyBorder="1" applyAlignment="1" applyProtection="1">
      <alignment horizontal="center"/>
    </xf>
    <xf numFmtId="0" fontId="9" fillId="5" borderId="11" xfId="0" applyFont="1" applyFill="1" applyBorder="1" applyAlignment="1" applyProtection="1">
      <alignment horizontal="left" indent="2"/>
    </xf>
    <xf numFmtId="0" fontId="9" fillId="5" borderId="14" xfId="0" applyFont="1" applyFill="1" applyBorder="1" applyAlignment="1" applyProtection="1">
      <alignment horizontal="left" indent="2"/>
    </xf>
    <xf numFmtId="170" fontId="9" fillId="5" borderId="6" xfId="0" applyNumberFormat="1" applyFont="1" applyFill="1" applyBorder="1" applyAlignment="1" applyProtection="1">
      <alignment horizontal="center"/>
    </xf>
    <xf numFmtId="0" fontId="18" fillId="0" borderId="0" xfId="3" applyFont="1"/>
    <xf numFmtId="1" fontId="0" fillId="3" borderId="1" xfId="0" applyNumberFormat="1" applyFill="1" applyBorder="1" applyAlignment="1" applyProtection="1">
      <alignment horizontal="right"/>
      <protection locked="0"/>
    </xf>
    <xf numFmtId="172" fontId="1" fillId="0" borderId="0" xfId="2" applyNumberFormat="1" applyProtection="1"/>
    <xf numFmtId="1" fontId="9" fillId="0" borderId="0" xfId="0" applyNumberFormat="1" applyFont="1" applyFill="1" applyBorder="1" applyAlignment="1" applyProtection="1">
      <alignment horizontal="center"/>
    </xf>
    <xf numFmtId="170" fontId="9" fillId="0" borderId="0" xfId="0" applyNumberFormat="1" applyFont="1" applyFill="1" applyBorder="1" applyAlignment="1" applyProtection="1">
      <alignment horizontal="center"/>
    </xf>
    <xf numFmtId="0" fontId="0" fillId="0" borderId="0" xfId="0" applyAlignment="1">
      <alignment wrapText="1"/>
    </xf>
    <xf numFmtId="0" fontId="0" fillId="0" borderId="0" xfId="0" applyNumberFormat="1" applyAlignment="1">
      <alignment wrapText="1"/>
    </xf>
    <xf numFmtId="14" fontId="0" fillId="0" borderId="0" xfId="0" applyNumberFormat="1"/>
    <xf numFmtId="0" fontId="15" fillId="0" borderId="0" xfId="3" applyFont="1" applyAlignment="1">
      <alignment wrapText="1"/>
    </xf>
    <xf numFmtId="2" fontId="20" fillId="0" borderId="0" xfId="0" applyNumberFormat="1" applyFont="1"/>
    <xf numFmtId="44" fontId="21" fillId="0" borderId="1" xfId="2" applyFont="1" applyBorder="1" applyAlignment="1">
      <alignment horizontal="right"/>
    </xf>
    <xf numFmtId="44" fontId="21" fillId="0" borderId="5" xfId="2" applyFont="1" applyBorder="1" applyAlignment="1">
      <alignment horizontal="right"/>
    </xf>
    <xf numFmtId="44" fontId="21" fillId="0" borderId="1" xfId="2" applyFont="1" applyFill="1" applyBorder="1" applyAlignment="1">
      <alignment horizontal="right"/>
    </xf>
    <xf numFmtId="44" fontId="21" fillId="0" borderId="5" xfId="2" applyFont="1" applyFill="1" applyBorder="1" applyAlignment="1">
      <alignment horizontal="right"/>
    </xf>
    <xf numFmtId="44" fontId="21" fillId="0" borderId="5" xfId="2" applyFont="1" applyFill="1" applyBorder="1" applyAlignment="1">
      <alignment horizontal="center"/>
    </xf>
    <xf numFmtId="44" fontId="21" fillId="0" borderId="1" xfId="2" applyFont="1" applyFill="1" applyBorder="1" applyAlignment="1">
      <alignment horizontal="center"/>
    </xf>
    <xf numFmtId="44" fontId="21" fillId="0" borderId="1" xfId="0" applyNumberFormat="1" applyFont="1" applyFill="1" applyBorder="1" applyAlignment="1">
      <alignment horizontal="center"/>
    </xf>
    <xf numFmtId="44" fontId="21" fillId="0" borderId="24" xfId="2" applyNumberFormat="1" applyFont="1" applyFill="1" applyBorder="1" applyAlignment="1">
      <alignment horizontal="center"/>
    </xf>
    <xf numFmtId="44" fontId="21" fillId="0" borderId="1" xfId="2" applyFont="1" applyFill="1" applyBorder="1"/>
    <xf numFmtId="44" fontId="21" fillId="0" borderId="1" xfId="2" applyFont="1" applyBorder="1"/>
    <xf numFmtId="44" fontId="21" fillId="0" borderId="24" xfId="2" applyFont="1" applyFill="1" applyBorder="1"/>
    <xf numFmtId="173" fontId="21" fillId="0" borderId="1" xfId="0" applyNumberFormat="1" applyFont="1" applyFill="1" applyBorder="1" applyAlignment="1">
      <alignment horizontal="center"/>
    </xf>
    <xf numFmtId="44" fontId="21" fillId="0" borderId="5" xfId="2" applyFont="1" applyFill="1" applyBorder="1"/>
    <xf numFmtId="44" fontId="21" fillId="0" borderId="5" xfId="2" applyFont="1" applyBorder="1"/>
    <xf numFmtId="170" fontId="21" fillId="0" borderId="0" xfId="2" applyNumberFormat="1" applyFont="1" applyFill="1" applyBorder="1"/>
    <xf numFmtId="170" fontId="21" fillId="0" borderId="0" xfId="2" applyNumberFormat="1" applyFont="1" applyBorder="1"/>
    <xf numFmtId="170" fontId="21" fillId="0" borderId="0" xfId="0" applyNumberFormat="1" applyFont="1" applyBorder="1"/>
    <xf numFmtId="170" fontId="21" fillId="0" borderId="0" xfId="2" applyNumberFormat="1" applyFont="1"/>
    <xf numFmtId="170" fontId="21" fillId="0" borderId="36" xfId="0" applyNumberFormat="1" applyFont="1" applyBorder="1"/>
    <xf numFmtId="44" fontId="1" fillId="4" borderId="1" xfId="2" applyFont="1" applyFill="1" applyBorder="1" applyAlignment="1">
      <alignment horizontal="right"/>
    </xf>
    <xf numFmtId="44" fontId="21" fillId="0" borderId="24" xfId="2" applyFont="1" applyFill="1" applyBorder="1" applyAlignment="1">
      <alignment horizontal="right"/>
    </xf>
    <xf numFmtId="0" fontId="21" fillId="0" borderId="1" xfId="0" applyFont="1" applyBorder="1"/>
    <xf numFmtId="0" fontId="21" fillId="0" borderId="4" xfId="0" applyFont="1" applyBorder="1"/>
    <xf numFmtId="0" fontId="21" fillId="0" borderId="41" xfId="0" applyFont="1" applyBorder="1"/>
    <xf numFmtId="0" fontId="21" fillId="0" borderId="42" xfId="0" applyFont="1" applyBorder="1"/>
    <xf numFmtId="0" fontId="0" fillId="0" borderId="0" xfId="0" applyFill="1" applyBorder="1" applyAlignment="1" applyProtection="1">
      <alignment horizontal="right"/>
      <protection locked="0"/>
    </xf>
    <xf numFmtId="0" fontId="10" fillId="0" borderId="66" xfId="0" applyFont="1" applyFill="1" applyBorder="1" applyAlignment="1" applyProtection="1">
      <alignment wrapText="1"/>
      <protection locked="0"/>
    </xf>
    <xf numFmtId="0" fontId="5" fillId="0" borderId="67" xfId="0" applyFont="1" applyFill="1" applyBorder="1" applyAlignment="1" applyProtection="1">
      <alignment horizontal="center" wrapText="1"/>
      <protection locked="0"/>
    </xf>
    <xf numFmtId="0" fontId="10" fillId="0" borderId="67" xfId="0" applyFont="1" applyFill="1" applyBorder="1" applyAlignment="1" applyProtection="1">
      <alignment horizontal="center" wrapText="1"/>
      <protection locked="0"/>
    </xf>
    <xf numFmtId="0" fontId="10" fillId="0" borderId="67" xfId="0" applyFont="1" applyFill="1" applyBorder="1" applyAlignment="1" applyProtection="1">
      <alignment horizontal="center" wrapText="1"/>
    </xf>
    <xf numFmtId="0" fontId="5" fillId="0" borderId="67" xfId="0" applyFont="1" applyFill="1" applyBorder="1" applyAlignment="1" applyProtection="1">
      <alignment wrapText="1"/>
      <protection locked="0"/>
    </xf>
    <xf numFmtId="0" fontId="5" fillId="0" borderId="67" xfId="0" applyFont="1" applyFill="1" applyBorder="1" applyAlignment="1" applyProtection="1">
      <alignment horizontal="center" vertical="top" wrapText="1"/>
      <protection locked="0"/>
    </xf>
    <xf numFmtId="0" fontId="5" fillId="0" borderId="68" xfId="0" applyFont="1" applyFill="1" applyBorder="1" applyAlignment="1" applyProtection="1">
      <alignment horizontal="center" wrapText="1"/>
      <protection locked="0"/>
    </xf>
    <xf numFmtId="0" fontId="1" fillId="0" borderId="1" xfId="0" applyFont="1" applyFill="1" applyBorder="1" applyAlignment="1" applyProtection="1">
      <alignment horizontal="center" wrapText="1"/>
      <protection locked="0"/>
    </xf>
    <xf numFmtId="44" fontId="21" fillId="0" borderId="24" xfId="2" applyFont="1" applyBorder="1"/>
    <xf numFmtId="44" fontId="5" fillId="4" borderId="1" xfId="2" applyFont="1" applyFill="1" applyBorder="1" applyAlignment="1">
      <alignment horizontal="center"/>
    </xf>
    <xf numFmtId="44" fontId="5" fillId="4" borderId="5" xfId="2" applyFont="1" applyFill="1" applyBorder="1" applyAlignment="1">
      <alignment horizontal="center"/>
    </xf>
    <xf numFmtId="44" fontId="5" fillId="4" borderId="1" xfId="2" applyFont="1" applyFill="1" applyBorder="1" applyAlignment="1">
      <alignment horizontal="right"/>
    </xf>
    <xf numFmtId="44" fontId="5" fillId="4" borderId="1" xfId="2" applyFont="1" applyFill="1" applyBorder="1"/>
    <xf numFmtId="44" fontId="22" fillId="4" borderId="1" xfId="2" applyFont="1" applyFill="1" applyBorder="1" applyAlignment="1">
      <alignment horizontal="center"/>
    </xf>
    <xf numFmtId="44" fontId="5" fillId="4" borderId="55" xfId="2" applyFont="1" applyFill="1" applyBorder="1" applyAlignment="1">
      <alignment horizontal="right"/>
    </xf>
    <xf numFmtId="44" fontId="0" fillId="0" borderId="0" xfId="2" applyFont="1" applyFill="1" applyBorder="1" applyProtection="1"/>
    <xf numFmtId="0" fontId="9" fillId="0" borderId="0" xfId="0" applyFont="1" applyBorder="1" applyProtection="1">
      <protection locked="0"/>
    </xf>
    <xf numFmtId="0" fontId="9" fillId="0" borderId="0" xfId="0" applyFont="1" applyFill="1" applyBorder="1" applyProtection="1">
      <protection locked="0"/>
    </xf>
    <xf numFmtId="0" fontId="10" fillId="0" borderId="0" xfId="0" applyFont="1" applyFill="1" applyProtection="1">
      <protection locked="0"/>
    </xf>
    <xf numFmtId="0" fontId="0" fillId="0" borderId="0" xfId="0" applyFill="1" applyAlignment="1" applyProtection="1">
      <alignment horizontal="center"/>
      <protection locked="0"/>
    </xf>
    <xf numFmtId="2" fontId="9" fillId="0" borderId="0" xfId="0" applyNumberFormat="1" applyFont="1" applyFill="1" applyBorder="1" applyProtection="1">
      <protection locked="0"/>
    </xf>
    <xf numFmtId="12" fontId="10" fillId="0" borderId="0" xfId="0" applyNumberFormat="1" applyFont="1" applyFill="1" applyBorder="1" applyAlignment="1" applyProtection="1">
      <alignment horizontal="right"/>
      <protection locked="0"/>
    </xf>
    <xf numFmtId="170" fontId="1" fillId="0" borderId="0" xfId="2" applyNumberFormat="1" applyProtection="1">
      <protection locked="0"/>
    </xf>
    <xf numFmtId="170" fontId="9" fillId="0" borderId="0" xfId="0" applyNumberFormat="1" applyFont="1" applyProtection="1">
      <protection locked="0"/>
    </xf>
    <xf numFmtId="0" fontId="10" fillId="0" borderId="0" xfId="0" applyFont="1" applyProtection="1">
      <protection locked="0"/>
    </xf>
    <xf numFmtId="170" fontId="1" fillId="0" borderId="0" xfId="2" applyNumberFormat="1" applyBorder="1" applyProtection="1">
      <protection locked="0"/>
    </xf>
    <xf numFmtId="0" fontId="0" fillId="0" borderId="0" xfId="0" applyBorder="1" applyAlignment="1"/>
    <xf numFmtId="0" fontId="0" fillId="4" borderId="7" xfId="0" applyFill="1" applyBorder="1" applyAlignment="1">
      <alignment horizontal="center"/>
    </xf>
    <xf numFmtId="8" fontId="1" fillId="0" borderId="0" xfId="2" applyNumberFormat="1" applyProtection="1"/>
    <xf numFmtId="0" fontId="9" fillId="5" borderId="56" xfId="0" applyFont="1" applyFill="1" applyBorder="1" applyAlignment="1" applyProtection="1">
      <alignment horizontal="left" indent="1"/>
    </xf>
    <xf numFmtId="164" fontId="9" fillId="5" borderId="48" xfId="0" applyNumberFormat="1" applyFont="1" applyFill="1" applyBorder="1" applyAlignment="1" applyProtection="1">
      <alignment horizontal="right"/>
    </xf>
    <xf numFmtId="0" fontId="9" fillId="5" borderId="14" xfId="0" applyFont="1" applyFill="1" applyBorder="1" applyAlignment="1" applyProtection="1">
      <alignment horizontal="left" indent="1"/>
    </xf>
    <xf numFmtId="164" fontId="9" fillId="5" borderId="6" xfId="0" applyNumberFormat="1" applyFont="1" applyFill="1" applyBorder="1" applyAlignment="1" applyProtection="1">
      <alignment horizontal="right"/>
    </xf>
    <xf numFmtId="170" fontId="9" fillId="5" borderId="48" xfId="0" applyNumberFormat="1" applyFont="1" applyFill="1" applyBorder="1" applyAlignment="1" applyProtection="1">
      <alignment horizontal="center"/>
    </xf>
    <xf numFmtId="0" fontId="13" fillId="5" borderId="69" xfId="0" applyFont="1" applyFill="1" applyBorder="1" applyAlignment="1" applyProtection="1">
      <alignment horizontal="left" indent="1"/>
    </xf>
    <xf numFmtId="0" fontId="9" fillId="5" borderId="69" xfId="0" applyFont="1" applyFill="1" applyBorder="1" applyProtection="1"/>
    <xf numFmtId="0" fontId="0" fillId="5" borderId="18" xfId="0" applyFill="1" applyBorder="1" applyProtection="1"/>
    <xf numFmtId="165" fontId="0" fillId="5" borderId="11" xfId="1" applyNumberFormat="1" applyFont="1" applyFill="1" applyBorder="1" applyProtection="1"/>
    <xf numFmtId="165" fontId="9" fillId="5" borderId="65" xfId="1" applyNumberFormat="1" applyFont="1" applyFill="1" applyBorder="1" applyProtection="1"/>
    <xf numFmtId="165" fontId="9" fillId="5" borderId="10" xfId="1" applyNumberFormat="1" applyFont="1" applyFill="1" applyBorder="1" applyProtection="1"/>
    <xf numFmtId="2" fontId="13" fillId="5" borderId="18" xfId="0" applyNumberFormat="1" applyFont="1" applyFill="1" applyBorder="1" applyAlignment="1" applyProtection="1">
      <alignment horizontal="right"/>
    </xf>
    <xf numFmtId="12" fontId="0" fillId="0" borderId="0" xfId="0" applyNumberFormat="1" applyBorder="1" applyProtection="1">
      <protection locked="0"/>
    </xf>
    <xf numFmtId="12" fontId="0" fillId="0" borderId="36" xfId="0" applyNumberFormat="1" applyBorder="1" applyProtection="1">
      <protection locked="0"/>
    </xf>
    <xf numFmtId="0" fontId="0" fillId="0" borderId="28" xfId="0" applyBorder="1"/>
    <xf numFmtId="0" fontId="9" fillId="0" borderId="0" xfId="0" applyFont="1" applyBorder="1"/>
    <xf numFmtId="2" fontId="0" fillId="0" borderId="36" xfId="0" applyNumberFormat="1" applyBorder="1" applyAlignment="1"/>
    <xf numFmtId="2" fontId="0" fillId="0" borderId="36" xfId="0" applyNumberFormat="1" applyBorder="1"/>
    <xf numFmtId="0" fontId="1" fillId="0" borderId="0" xfId="0" applyFont="1" applyAlignment="1">
      <alignment wrapText="1"/>
    </xf>
    <xf numFmtId="0" fontId="0" fillId="3" borderId="1" xfId="0" applyFill="1" applyBorder="1" applyAlignment="1" applyProtection="1">
      <alignment horizontal="left"/>
      <protection locked="0"/>
    </xf>
    <xf numFmtId="0" fontId="0" fillId="3" borderId="64" xfId="0" applyFill="1" applyBorder="1" applyAlignment="1" applyProtection="1">
      <alignment horizontal="center"/>
      <protection locked="0"/>
    </xf>
    <xf numFmtId="0" fontId="0" fillId="3" borderId="51"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5" fillId="0" borderId="67" xfId="0" applyFont="1" applyFill="1" applyBorder="1" applyAlignment="1" applyProtection="1">
      <alignment horizontal="center" wrapText="1"/>
      <protection locked="0"/>
    </xf>
    <xf numFmtId="0" fontId="1" fillId="0" borderId="55" xfId="0" applyFont="1" applyFill="1" applyBorder="1" applyAlignment="1" applyProtection="1">
      <alignment horizontal="center" wrapText="1"/>
    </xf>
    <xf numFmtId="0" fontId="1" fillId="0" borderId="32"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5" fillId="0" borderId="56" xfId="0" applyFont="1" applyFill="1" applyBorder="1" applyAlignment="1" applyProtection="1">
      <alignment horizontal="center" wrapText="1"/>
    </xf>
    <xf numFmtId="0" fontId="5" fillId="0" borderId="55" xfId="0" applyFont="1" applyFill="1" applyBorder="1" applyAlignment="1" applyProtection="1">
      <alignment horizontal="center" wrapText="1"/>
    </xf>
    <xf numFmtId="0" fontId="9" fillId="5" borderId="69" xfId="0" applyFont="1" applyFill="1" applyBorder="1" applyAlignment="1" applyProtection="1">
      <alignment horizontal="center"/>
    </xf>
    <xf numFmtId="0" fontId="9" fillId="5" borderId="17" xfId="0" applyFont="1" applyFill="1" applyBorder="1" applyAlignment="1" applyProtection="1">
      <alignment horizontal="center"/>
    </xf>
    <xf numFmtId="0" fontId="9" fillId="5" borderId="18" xfId="0" applyFont="1" applyFill="1" applyBorder="1" applyAlignment="1" applyProtection="1">
      <alignment horizontal="center"/>
    </xf>
    <xf numFmtId="0" fontId="1" fillId="0" borderId="47" xfId="0" applyFont="1" applyFill="1" applyBorder="1" applyAlignment="1" applyProtection="1">
      <alignment horizontal="center" wrapText="1"/>
    </xf>
    <xf numFmtId="0" fontId="1" fillId="0" borderId="70" xfId="0" applyFont="1" applyFill="1" applyBorder="1" applyAlignment="1" applyProtection="1">
      <alignment horizontal="center" wrapText="1"/>
    </xf>
    <xf numFmtId="0" fontId="10" fillId="0" borderId="54" xfId="0" applyFont="1" applyBorder="1" applyAlignment="1">
      <alignment horizontal="center"/>
    </xf>
    <xf numFmtId="0" fontId="10" fillId="0" borderId="35" xfId="0" applyFont="1" applyBorder="1" applyAlignment="1">
      <alignment horizontal="center"/>
    </xf>
    <xf numFmtId="0" fontId="0" fillId="0" borderId="54" xfId="0" applyBorder="1" applyAlignment="1">
      <alignment horizontal="center"/>
    </xf>
    <xf numFmtId="0" fontId="0" fillId="0" borderId="35" xfId="0" applyBorder="1" applyAlignment="1">
      <alignment horizontal="center"/>
    </xf>
    <xf numFmtId="0" fontId="0" fillId="0" borderId="64" xfId="0" applyBorder="1" applyAlignment="1">
      <alignment horizontal="center"/>
    </xf>
    <xf numFmtId="0" fontId="0" fillId="0" borderId="19" xfId="0" applyBorder="1" applyAlignment="1">
      <alignment horizontal="center"/>
    </xf>
    <xf numFmtId="0" fontId="0" fillId="0" borderId="1" xfId="0" applyBorder="1" applyAlignment="1">
      <alignment horizontal="center"/>
    </xf>
    <xf numFmtId="2" fontId="0" fillId="0" borderId="56" xfId="0" applyNumberFormat="1" applyFill="1" applyBorder="1" applyAlignment="1">
      <alignment horizontal="center"/>
    </xf>
    <xf numFmtId="2" fontId="0" fillId="0" borderId="55" xfId="0" applyNumberFormat="1" applyFill="1" applyBorder="1" applyAlignment="1">
      <alignment horizontal="center"/>
    </xf>
    <xf numFmtId="2" fontId="0" fillId="0" borderId="48" xfId="0" applyNumberFormat="1" applyFill="1" applyBorder="1" applyAlignment="1">
      <alignment horizontal="center"/>
    </xf>
    <xf numFmtId="0" fontId="0" fillId="0" borderId="24" xfId="0" applyFill="1" applyBorder="1" applyAlignment="1">
      <alignment horizontal="center"/>
    </xf>
    <xf numFmtId="0" fontId="0" fillId="0" borderId="12" xfId="0" applyBorder="1" applyAlignment="1">
      <alignment horizontal="center"/>
    </xf>
    <xf numFmtId="0" fontId="0" fillId="0" borderId="45" xfId="0" applyBorder="1" applyAlignment="1">
      <alignment horizontal="center"/>
    </xf>
    <xf numFmtId="0" fontId="0" fillId="0" borderId="13" xfId="0" applyBorder="1" applyAlignment="1">
      <alignment horizontal="center"/>
    </xf>
    <xf numFmtId="2" fontId="0" fillId="0" borderId="11" xfId="0" applyNumberFormat="1" applyBorder="1" applyAlignment="1">
      <alignment horizontal="center" vertical="center"/>
    </xf>
    <xf numFmtId="0" fontId="0" fillId="0" borderId="4" xfId="0" applyBorder="1" applyAlignment="1">
      <alignment horizontal="center"/>
    </xf>
    <xf numFmtId="0" fontId="0" fillId="0" borderId="56" xfId="0" applyBorder="1" applyAlignment="1">
      <alignment horizontal="center"/>
    </xf>
    <xf numFmtId="0" fontId="0" fillId="0" borderId="55" xfId="0" applyBorder="1" applyAlignment="1">
      <alignment horizontal="center"/>
    </xf>
    <xf numFmtId="0" fontId="0" fillId="0" borderId="48" xfId="0" applyBorder="1" applyAlignment="1">
      <alignment horizontal="center"/>
    </xf>
    <xf numFmtId="0" fontId="0" fillId="0" borderId="24" xfId="0" applyBorder="1" applyAlignment="1">
      <alignment horizontal="center"/>
    </xf>
    <xf numFmtId="2" fontId="0" fillId="0" borderId="66" xfId="0" applyNumberFormat="1" applyBorder="1" applyAlignment="1">
      <alignment horizontal="center" vertical="center"/>
    </xf>
    <xf numFmtId="2" fontId="0" fillId="0" borderId="71" xfId="0" applyNumberFormat="1" applyBorder="1" applyAlignment="1">
      <alignment horizontal="center" vertical="center"/>
    </xf>
    <xf numFmtId="0" fontId="0" fillId="0" borderId="7" xfId="0" applyBorder="1" applyAlignment="1">
      <alignment horizontal="center"/>
    </xf>
    <xf numFmtId="2" fontId="0" fillId="0" borderId="33" xfId="0" applyNumberFormat="1" applyBorder="1" applyAlignment="1">
      <alignment horizontal="center"/>
    </xf>
    <xf numFmtId="2" fontId="0" fillId="0" borderId="35" xfId="0" applyNumberFormat="1" applyBorder="1" applyAlignment="1">
      <alignment horizontal="center"/>
    </xf>
    <xf numFmtId="0" fontId="0" fillId="0" borderId="47" xfId="0" applyBorder="1" applyAlignment="1">
      <alignment horizontal="center"/>
    </xf>
    <xf numFmtId="0" fontId="0" fillId="0" borderId="70" xfId="0" applyBorder="1" applyAlignment="1">
      <alignment horizontal="center"/>
    </xf>
    <xf numFmtId="0" fontId="1" fillId="0" borderId="0" xfId="0" applyFont="1" applyBorder="1"/>
    <xf numFmtId="0" fontId="1" fillId="0" borderId="0" xfId="0" applyFont="1"/>
  </cellXfs>
  <cellStyles count="5">
    <cellStyle name="Comma" xfId="1" builtinId="3"/>
    <cellStyle name="Currency" xfId="2" builtinId="4"/>
    <cellStyle name="Normal" xfId="0" builtinId="0"/>
    <cellStyle name="Normal_Excel Manual by Todd" xfId="3"/>
    <cellStyle name="Percent" xfId="4" builtinId="5"/>
  </cellStyles>
  <dxfs count="7">
    <dxf>
      <font>
        <condense val="0"/>
        <extend val="0"/>
        <color indexed="8"/>
      </font>
      <fill>
        <patternFill>
          <bgColor indexed="22"/>
        </patternFill>
      </fill>
    </dxf>
    <dxf>
      <font>
        <condense val="0"/>
        <extend val="0"/>
        <color indexed="10"/>
      </font>
      <fill>
        <patternFill>
          <bgColor indexed="4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472289760621641"/>
          <c:y val="7.1186558505294095E-2"/>
          <c:w val="0.68993909011154275"/>
          <c:h val="0.82373017698983264"/>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dispEq val="1"/>
            <c:trendlineLbl>
              <c:numFmt formatCode="General" sourceLinked="0"/>
              <c:spPr>
                <a:noFill/>
                <a:ln w="25400">
                  <a:noFill/>
                </a:ln>
              </c:spPr>
              <c:txPr>
                <a:bodyPr/>
                <a:lstStyle/>
                <a:p>
                  <a:pPr>
                    <a:defRPr sz="475" b="0" i="0" u="none" strike="noStrike" baseline="0">
                      <a:solidFill>
                        <a:srgbClr val="000000"/>
                      </a:solidFill>
                      <a:latin typeface="Arial"/>
                      <a:ea typeface="Arial"/>
                      <a:cs typeface="Arial"/>
                    </a:defRPr>
                  </a:pPr>
                  <a:endParaRPr lang="en-US"/>
                </a:p>
              </c:txPr>
            </c:trendlineLbl>
          </c:trendline>
          <c:xVal>
            <c:numRef>
              <c:f>Constants!$B$79:$B$85</c:f>
              <c:numCache>
                <c:formatCode>#\ ?/?</c:formatCode>
                <c:ptCount val="7"/>
                <c:pt idx="0">
                  <c:v>2.5</c:v>
                </c:pt>
                <c:pt idx="1">
                  <c:v>3</c:v>
                </c:pt>
                <c:pt idx="2">
                  <c:v>4</c:v>
                </c:pt>
                <c:pt idx="3">
                  <c:v>5</c:v>
                </c:pt>
                <c:pt idx="4">
                  <c:v>6</c:v>
                </c:pt>
                <c:pt idx="5">
                  <c:v>8</c:v>
                </c:pt>
                <c:pt idx="6">
                  <c:v>10</c:v>
                </c:pt>
              </c:numCache>
            </c:numRef>
          </c:xVal>
          <c:yVal>
            <c:numRef>
              <c:f>Constants!$M$79:$M$85</c:f>
              <c:numCache>
                <c:formatCode>_("$"* #,##0.00_);_("$"* \(#,##0.00\);_("$"* "-"??_);_(@_)</c:formatCode>
                <c:ptCount val="7"/>
                <c:pt idx="0">
                  <c:v>595</c:v>
                </c:pt>
                <c:pt idx="1">
                  <c:v>695</c:v>
                </c:pt>
                <c:pt idx="2">
                  <c:v>945</c:v>
                </c:pt>
                <c:pt idx="3">
                  <c:v>1175</c:v>
                </c:pt>
                <c:pt idx="4">
                  <c:v>1525</c:v>
                </c:pt>
                <c:pt idx="5">
                  <c:v>2225</c:v>
                </c:pt>
                <c:pt idx="6">
                  <c:v>3125</c:v>
                </c:pt>
              </c:numCache>
            </c:numRef>
          </c:yVal>
        </c:ser>
        <c:axId val="92118016"/>
        <c:axId val="92017408"/>
      </c:scatterChart>
      <c:valAx>
        <c:axId val="92118016"/>
        <c:scaling>
          <c:orientation val="minMax"/>
        </c:scaling>
        <c:axPos val="b"/>
        <c:numFmt formatCode="#\ ?/?" sourceLinked="1"/>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2017408"/>
        <c:crosses val="autoZero"/>
        <c:crossBetween val="midCat"/>
      </c:valAx>
      <c:valAx>
        <c:axId val="92017408"/>
        <c:scaling>
          <c:orientation val="minMax"/>
        </c:scaling>
        <c:axPos val="l"/>
        <c:majorGridlines>
          <c:spPr>
            <a:ln w="3175">
              <a:solidFill>
                <a:srgbClr val="000000"/>
              </a:solidFill>
              <a:prstDash val="solid"/>
            </a:ln>
          </c:spPr>
        </c:majorGridlines>
        <c:numFmt formatCode="_(&quot;$&quot;* #,##0.00_);_(&quot;$&quot;* \(#,##0.00\);_(&quot;$&quot;* &quot;-&quot;??_);_(@_)" sourceLinked="1"/>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2118016"/>
        <c:crosses val="autoZero"/>
        <c:crossBetween val="midCat"/>
      </c:valAx>
      <c:spPr>
        <a:solidFill>
          <a:srgbClr val="C0C0C0"/>
        </a:solidFill>
        <a:ln w="12700">
          <a:solidFill>
            <a:srgbClr val="808080"/>
          </a:solidFill>
          <a:prstDash val="solid"/>
        </a:ln>
      </c:spPr>
    </c:plotArea>
    <c:legend>
      <c:legendPos val="r"/>
      <c:layout>
        <c:manualLayout>
          <c:xMode val="edge"/>
          <c:yMode val="edge"/>
          <c:x val="0.83572981508728295"/>
          <c:y val="0.44406850838560452"/>
          <c:w val="0.14784415808393572"/>
          <c:h val="7.7966101694915316E-2"/>
        </c:manualLayout>
      </c:layout>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88317515478767"/>
          <c:y val="5.9945583842791902E-2"/>
          <c:w val="0.61711847444765811"/>
          <c:h val="0.8501373708614115"/>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3"/>
            <c:dispEq val="1"/>
            <c:trendlineLbl>
              <c:numFmt formatCode="General" sourceLinked="0"/>
              <c:spPr>
                <a:noFill/>
                <a:ln w="25400">
                  <a:noFill/>
                </a:ln>
              </c:spPr>
              <c:txPr>
                <a:bodyPr/>
                <a:lstStyle/>
                <a:p>
                  <a:pPr>
                    <a:defRPr sz="525" b="0" i="0" u="none" strike="noStrike" baseline="0">
                      <a:solidFill>
                        <a:srgbClr val="000000"/>
                      </a:solidFill>
                      <a:latin typeface="Arial"/>
                      <a:ea typeface="Arial"/>
                      <a:cs typeface="Arial"/>
                    </a:defRPr>
                  </a:pPr>
                  <a:endParaRPr lang="en-US"/>
                </a:p>
              </c:txPr>
            </c:trendlineLbl>
          </c:trendline>
          <c:xVal>
            <c:numRef>
              <c:f>Constants!$B$77:$B$86</c:f>
              <c:numCache>
                <c:formatCode>#\ ?/?</c:formatCode>
                <c:ptCount val="10"/>
                <c:pt idx="0">
                  <c:v>1.5</c:v>
                </c:pt>
                <c:pt idx="1">
                  <c:v>2</c:v>
                </c:pt>
                <c:pt idx="2">
                  <c:v>2.5</c:v>
                </c:pt>
                <c:pt idx="3">
                  <c:v>3</c:v>
                </c:pt>
                <c:pt idx="4">
                  <c:v>4</c:v>
                </c:pt>
                <c:pt idx="5">
                  <c:v>5</c:v>
                </c:pt>
                <c:pt idx="6">
                  <c:v>6</c:v>
                </c:pt>
                <c:pt idx="7">
                  <c:v>8</c:v>
                </c:pt>
                <c:pt idx="8">
                  <c:v>10</c:v>
                </c:pt>
                <c:pt idx="9">
                  <c:v>12</c:v>
                </c:pt>
              </c:numCache>
            </c:numRef>
          </c:xVal>
          <c:yVal>
            <c:numRef>
              <c:f>Constants!$O$77:$O$86</c:f>
              <c:numCache>
                <c:formatCode>_("$"* #,##0.00_);_("$"* \(#,##0.00\);_("$"* "-"??_);_(@_)</c:formatCode>
                <c:ptCount val="10"/>
                <c:pt idx="0">
                  <c:v>502.71428571428578</c:v>
                </c:pt>
                <c:pt idx="1">
                  <c:v>645</c:v>
                </c:pt>
                <c:pt idx="2">
                  <c:v>745</c:v>
                </c:pt>
                <c:pt idx="3">
                  <c:v>745</c:v>
                </c:pt>
                <c:pt idx="4">
                  <c:v>1100</c:v>
                </c:pt>
                <c:pt idx="5">
                  <c:v>1400</c:v>
                </c:pt>
                <c:pt idx="6">
                  <c:v>1700</c:v>
                </c:pt>
                <c:pt idx="7">
                  <c:v>2800</c:v>
                </c:pt>
                <c:pt idx="8">
                  <c:v>4150</c:v>
                </c:pt>
                <c:pt idx="9">
                  <c:v>5900</c:v>
                </c:pt>
              </c:numCache>
            </c:numRef>
          </c:yVal>
        </c:ser>
        <c:axId val="92033792"/>
        <c:axId val="92035328"/>
      </c:scatterChart>
      <c:valAx>
        <c:axId val="92033792"/>
        <c:scaling>
          <c:orientation val="minMax"/>
        </c:scaling>
        <c:axPos val="b"/>
        <c:numFmt formatCode="#\ ?/?" sourceLinked="1"/>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en-US"/>
          </a:p>
        </c:txPr>
        <c:crossAx val="92035328"/>
        <c:crosses val="autoZero"/>
        <c:crossBetween val="midCat"/>
      </c:valAx>
      <c:valAx>
        <c:axId val="92035328"/>
        <c:scaling>
          <c:orientation val="minMax"/>
        </c:scaling>
        <c:axPos val="l"/>
        <c:majorGridlines>
          <c:spPr>
            <a:ln w="3175">
              <a:solidFill>
                <a:srgbClr val="000000"/>
              </a:solidFill>
              <a:prstDash val="solid"/>
            </a:ln>
          </c:spPr>
        </c:majorGridlines>
        <c:numFmt formatCode="_(&quot;$&quot;* #,##0.00_);_(&quot;$&quot;* \(#,##0.00\);_(&quot;$&quot;* &quot;-&quot;??_);_(@_)" sourceLinked="1"/>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en-US"/>
          </a:p>
        </c:txPr>
        <c:crossAx val="92033792"/>
        <c:crosses val="autoZero"/>
        <c:crossBetween val="midCat"/>
      </c:valAx>
      <c:spPr>
        <a:solidFill>
          <a:srgbClr val="C0C0C0"/>
        </a:solidFill>
        <a:ln w="12700">
          <a:solidFill>
            <a:srgbClr val="808080"/>
          </a:solidFill>
          <a:prstDash val="solid"/>
        </a:ln>
      </c:spPr>
    </c:plotArea>
    <c:legend>
      <c:legendPos val="r"/>
      <c:layout>
        <c:manualLayout>
          <c:xMode val="edge"/>
          <c:yMode val="edge"/>
          <c:x val="0.79729895249580363"/>
          <c:y val="0.44959185278951824"/>
          <c:w val="0.18468515759854343"/>
          <c:h val="7.3569482288828383E-2"/>
        </c:manualLayout>
      </c:layout>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082054074770988"/>
          <c:y val="6.4705975278572039E-2"/>
          <c:w val="0.62084324422642023"/>
          <c:h val="0.83823649792695532"/>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dispEq val="1"/>
            <c:trendlineLbl>
              <c:numFmt formatCode="General" sourceLinked="0"/>
              <c:spPr>
                <a:noFill/>
                <a:ln w="25400">
                  <a:noFill/>
                </a:ln>
              </c:spPr>
              <c:txPr>
                <a:bodyPr/>
                <a:lstStyle/>
                <a:p>
                  <a:pPr>
                    <a:defRPr sz="525" b="0" i="0" u="none" strike="noStrike" baseline="0">
                      <a:solidFill>
                        <a:srgbClr val="000000"/>
                      </a:solidFill>
                      <a:latin typeface="Arial"/>
                      <a:ea typeface="Arial"/>
                      <a:cs typeface="Arial"/>
                    </a:defRPr>
                  </a:pPr>
                  <a:endParaRPr lang="en-US"/>
                </a:p>
              </c:txPr>
            </c:trendlineLbl>
          </c:trendline>
          <c:xVal>
            <c:numRef>
              <c:f>Constants!$B$78:$B$91</c:f>
              <c:numCache>
                <c:formatCode>#\ ?/?</c:formatCode>
                <c:ptCount val="14"/>
                <c:pt idx="0">
                  <c:v>2</c:v>
                </c:pt>
                <c:pt idx="1">
                  <c:v>2.5</c:v>
                </c:pt>
                <c:pt idx="2">
                  <c:v>3</c:v>
                </c:pt>
                <c:pt idx="3">
                  <c:v>4</c:v>
                </c:pt>
                <c:pt idx="4">
                  <c:v>5</c:v>
                </c:pt>
                <c:pt idx="5">
                  <c:v>6</c:v>
                </c:pt>
                <c:pt idx="6">
                  <c:v>8</c:v>
                </c:pt>
                <c:pt idx="7">
                  <c:v>10</c:v>
                </c:pt>
                <c:pt idx="8">
                  <c:v>12</c:v>
                </c:pt>
                <c:pt idx="9">
                  <c:v>14</c:v>
                </c:pt>
                <c:pt idx="10">
                  <c:v>16</c:v>
                </c:pt>
                <c:pt idx="11">
                  <c:v>18</c:v>
                </c:pt>
                <c:pt idx="12">
                  <c:v>20</c:v>
                </c:pt>
                <c:pt idx="13">
                  <c:v>24</c:v>
                </c:pt>
              </c:numCache>
            </c:numRef>
          </c:xVal>
          <c:yVal>
            <c:numRef>
              <c:f>Constants!$S$78:$S$91</c:f>
              <c:numCache>
                <c:formatCode>_("$"* #,##0.00_);_("$"* \(#,##0.00\);_("$"* "-"??_);_(@_)</c:formatCode>
                <c:ptCount val="14"/>
                <c:pt idx="0">
                  <c:v>227</c:v>
                </c:pt>
                <c:pt idx="1">
                  <c:v>228</c:v>
                </c:pt>
                <c:pt idx="2">
                  <c:v>240</c:v>
                </c:pt>
                <c:pt idx="3">
                  <c:v>271</c:v>
                </c:pt>
                <c:pt idx="4">
                  <c:v>335</c:v>
                </c:pt>
                <c:pt idx="5">
                  <c:v>375</c:v>
                </c:pt>
                <c:pt idx="6">
                  <c:v>485</c:v>
                </c:pt>
                <c:pt idx="7">
                  <c:v>620</c:v>
                </c:pt>
                <c:pt idx="8">
                  <c:v>925</c:v>
                </c:pt>
                <c:pt idx="9">
                  <c:v>1225</c:v>
                </c:pt>
                <c:pt idx="10">
                  <c:v>1600</c:v>
                </c:pt>
                <c:pt idx="11">
                  <c:v>2075</c:v>
                </c:pt>
                <c:pt idx="12">
                  <c:v>2550</c:v>
                </c:pt>
                <c:pt idx="13">
                  <c:v>3575</c:v>
                </c:pt>
              </c:numCache>
            </c:numRef>
          </c:yVal>
        </c:ser>
        <c:ser>
          <c:idx val="1"/>
          <c:order val="1"/>
          <c:spPr>
            <a:ln w="28575">
              <a:noFill/>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poly"/>
            <c:order val="2"/>
          </c:trendline>
          <c:xVal>
            <c:numRef>
              <c:f>Constants!$B$78:$B$91</c:f>
              <c:numCache>
                <c:formatCode>#\ ?/?</c:formatCode>
                <c:ptCount val="14"/>
                <c:pt idx="0">
                  <c:v>2</c:v>
                </c:pt>
                <c:pt idx="1">
                  <c:v>2.5</c:v>
                </c:pt>
                <c:pt idx="2">
                  <c:v>3</c:v>
                </c:pt>
                <c:pt idx="3">
                  <c:v>4</c:v>
                </c:pt>
                <c:pt idx="4">
                  <c:v>5</c:v>
                </c:pt>
                <c:pt idx="5">
                  <c:v>6</c:v>
                </c:pt>
                <c:pt idx="6">
                  <c:v>8</c:v>
                </c:pt>
                <c:pt idx="7">
                  <c:v>10</c:v>
                </c:pt>
                <c:pt idx="8">
                  <c:v>12</c:v>
                </c:pt>
                <c:pt idx="9">
                  <c:v>14</c:v>
                </c:pt>
                <c:pt idx="10">
                  <c:v>16</c:v>
                </c:pt>
                <c:pt idx="11">
                  <c:v>18</c:v>
                </c:pt>
                <c:pt idx="12">
                  <c:v>20</c:v>
                </c:pt>
                <c:pt idx="13">
                  <c:v>24</c:v>
                </c:pt>
              </c:numCache>
            </c:numRef>
          </c:xVal>
          <c:yVal>
            <c:numRef>
              <c:f>Constants!$S$78:$S$91</c:f>
              <c:numCache>
                <c:formatCode>_("$"* #,##0.00_);_("$"* \(#,##0.00\);_("$"* "-"??_);_(@_)</c:formatCode>
                <c:ptCount val="14"/>
                <c:pt idx="0">
                  <c:v>227</c:v>
                </c:pt>
                <c:pt idx="1">
                  <c:v>228</c:v>
                </c:pt>
                <c:pt idx="2">
                  <c:v>240</c:v>
                </c:pt>
                <c:pt idx="3">
                  <c:v>271</c:v>
                </c:pt>
                <c:pt idx="4">
                  <c:v>335</c:v>
                </c:pt>
                <c:pt idx="5">
                  <c:v>375</c:v>
                </c:pt>
                <c:pt idx="6">
                  <c:v>485</c:v>
                </c:pt>
                <c:pt idx="7">
                  <c:v>620</c:v>
                </c:pt>
                <c:pt idx="8">
                  <c:v>925</c:v>
                </c:pt>
                <c:pt idx="9">
                  <c:v>1225</c:v>
                </c:pt>
                <c:pt idx="10">
                  <c:v>1600</c:v>
                </c:pt>
                <c:pt idx="11">
                  <c:v>2075</c:v>
                </c:pt>
                <c:pt idx="12">
                  <c:v>2550</c:v>
                </c:pt>
                <c:pt idx="13">
                  <c:v>3575</c:v>
                </c:pt>
              </c:numCache>
            </c:numRef>
          </c:yVal>
        </c:ser>
        <c:axId val="92426240"/>
        <c:axId val="92427776"/>
      </c:scatterChart>
      <c:valAx>
        <c:axId val="92426240"/>
        <c:scaling>
          <c:orientation val="minMax"/>
        </c:scaling>
        <c:axPos val="b"/>
        <c:numFmt formatCode="#\ ?/?" sourceLinked="1"/>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en-US"/>
          </a:p>
        </c:txPr>
        <c:crossAx val="92427776"/>
        <c:crosses val="autoZero"/>
        <c:crossBetween val="midCat"/>
      </c:valAx>
      <c:valAx>
        <c:axId val="92427776"/>
        <c:scaling>
          <c:orientation val="minMax"/>
        </c:scaling>
        <c:axPos val="l"/>
        <c:majorGridlines>
          <c:spPr>
            <a:ln w="3175">
              <a:solidFill>
                <a:srgbClr val="000000"/>
              </a:solidFill>
              <a:prstDash val="solid"/>
            </a:ln>
          </c:spPr>
        </c:majorGridlines>
        <c:numFmt formatCode="_(&quot;$&quot;* #,##0.00_);_(&quot;$&quot;* \(#,##0.00\);_(&quot;$&quot;* &quot;-&quot;??_);_(@_)" sourceLinked="1"/>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en-US"/>
          </a:p>
        </c:txPr>
        <c:crossAx val="92426240"/>
        <c:crosses val="autoZero"/>
        <c:crossBetween val="midCat"/>
      </c:valAx>
      <c:spPr>
        <a:solidFill>
          <a:srgbClr val="C0C0C0"/>
        </a:solidFill>
        <a:ln w="12700">
          <a:solidFill>
            <a:srgbClr val="808080"/>
          </a:solidFill>
          <a:prstDash val="solid"/>
        </a:ln>
      </c:spPr>
    </c:plotArea>
    <c:legend>
      <c:legendPos val="r"/>
      <c:layout>
        <c:manualLayout>
          <c:xMode val="edge"/>
          <c:yMode val="edge"/>
          <c:x val="0.79822709522728719"/>
          <c:y val="0.40588297051103928"/>
          <c:w val="0.18403570950526982"/>
          <c:h val="0.15588266172610776"/>
        </c:manualLayout>
      </c:layout>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21052631578936"/>
          <c:y val="7.4468342989330513E-2"/>
          <c:w val="0.60263157894736841"/>
          <c:h val="0.81560566131171541"/>
        </c:manualLayout>
      </c:layout>
      <c:scatterChart>
        <c:scatterStyle val="lineMarker"/>
        <c:ser>
          <c:idx val="1"/>
          <c:order val="0"/>
          <c:spPr>
            <a:ln w="28575">
              <a:noFill/>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poly"/>
            <c:order val="2"/>
            <c:dispEq val="1"/>
            <c:trendlineLbl>
              <c:layout>
                <c:manualLayout>
                  <c:x val="6.6158032877469228E-2"/>
                  <c:y val="-5.5645654566322207E-2"/>
                </c:manualLayout>
              </c:layout>
              <c:numFmt formatCode="General" sourceLinked="0"/>
              <c:spPr>
                <a:noFill/>
                <a:ln w="25400">
                  <a:noFill/>
                </a:ln>
              </c:spPr>
              <c:txPr>
                <a:bodyPr/>
                <a:lstStyle/>
                <a:p>
                  <a:pPr>
                    <a:defRPr sz="450" b="0" i="0" u="none" strike="noStrike" baseline="0">
                      <a:solidFill>
                        <a:srgbClr val="000000"/>
                      </a:solidFill>
                      <a:latin typeface="Arial"/>
                      <a:ea typeface="Arial"/>
                      <a:cs typeface="Arial"/>
                    </a:defRPr>
                  </a:pPr>
                  <a:endParaRPr lang="en-US"/>
                </a:p>
              </c:txPr>
            </c:trendlineLbl>
          </c:trendline>
          <c:xVal>
            <c:numRef>
              <c:f>Constants!$B$78:$B$91</c:f>
              <c:numCache>
                <c:formatCode>#\ ?/?</c:formatCode>
                <c:ptCount val="14"/>
                <c:pt idx="0">
                  <c:v>2</c:v>
                </c:pt>
                <c:pt idx="1">
                  <c:v>2.5</c:v>
                </c:pt>
                <c:pt idx="2">
                  <c:v>3</c:v>
                </c:pt>
                <c:pt idx="3">
                  <c:v>4</c:v>
                </c:pt>
                <c:pt idx="4">
                  <c:v>5</c:v>
                </c:pt>
                <c:pt idx="5">
                  <c:v>6</c:v>
                </c:pt>
                <c:pt idx="6">
                  <c:v>8</c:v>
                </c:pt>
                <c:pt idx="7">
                  <c:v>10</c:v>
                </c:pt>
                <c:pt idx="8">
                  <c:v>12</c:v>
                </c:pt>
                <c:pt idx="9">
                  <c:v>14</c:v>
                </c:pt>
                <c:pt idx="10">
                  <c:v>16</c:v>
                </c:pt>
                <c:pt idx="11">
                  <c:v>18</c:v>
                </c:pt>
                <c:pt idx="12">
                  <c:v>20</c:v>
                </c:pt>
                <c:pt idx="13">
                  <c:v>24</c:v>
                </c:pt>
              </c:numCache>
            </c:numRef>
          </c:xVal>
          <c:yVal>
            <c:numRef>
              <c:f>Constants!$T$78:$T$91</c:f>
              <c:numCache>
                <c:formatCode>_("$"* #,##0.00_);_("$"* \(#,##0.00\);_("$"* "-"??_);_(@_)</c:formatCode>
                <c:ptCount val="14"/>
                <c:pt idx="0">
                  <c:v>26.5</c:v>
                </c:pt>
                <c:pt idx="1">
                  <c:v>74.5</c:v>
                </c:pt>
                <c:pt idx="2">
                  <c:v>84</c:v>
                </c:pt>
                <c:pt idx="3">
                  <c:v>135</c:v>
                </c:pt>
                <c:pt idx="4">
                  <c:v>209</c:v>
                </c:pt>
                <c:pt idx="5">
                  <c:v>209</c:v>
                </c:pt>
                <c:pt idx="6">
                  <c:v>232</c:v>
                </c:pt>
                <c:pt idx="7">
                  <c:v>261</c:v>
                </c:pt>
                <c:pt idx="8">
                  <c:v>350</c:v>
                </c:pt>
                <c:pt idx="9">
                  <c:v>455</c:v>
                </c:pt>
                <c:pt idx="10">
                  <c:v>600</c:v>
                </c:pt>
                <c:pt idx="11">
                  <c:v>695</c:v>
                </c:pt>
                <c:pt idx="12">
                  <c:v>1050</c:v>
                </c:pt>
                <c:pt idx="13">
                  <c:v>1400</c:v>
                </c:pt>
              </c:numCache>
            </c:numRef>
          </c:yVal>
        </c:ser>
        <c:axId val="92456448"/>
        <c:axId val="92457984"/>
      </c:scatterChart>
      <c:valAx>
        <c:axId val="92456448"/>
        <c:scaling>
          <c:orientation val="minMax"/>
        </c:scaling>
        <c:axPos val="b"/>
        <c:numFmt formatCode="#\ ?/?" sourceLinked="1"/>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en-US"/>
          </a:p>
        </c:txPr>
        <c:crossAx val="92457984"/>
        <c:crosses val="autoZero"/>
        <c:crossBetween val="midCat"/>
      </c:valAx>
      <c:valAx>
        <c:axId val="92457984"/>
        <c:scaling>
          <c:orientation val="minMax"/>
        </c:scaling>
        <c:axPos val="l"/>
        <c:majorGridlines>
          <c:spPr>
            <a:ln w="3175">
              <a:solidFill>
                <a:srgbClr val="000000"/>
              </a:solidFill>
              <a:prstDash val="solid"/>
            </a:ln>
          </c:spPr>
        </c:majorGridlines>
        <c:numFmt formatCode="_(&quot;$&quot;* #,##0.00_);_(&quot;$&quot;* \(#,##0.00\);_(&quot;$&quot;* &quot;-&quot;??_);_(@_)" sourceLinked="1"/>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en-US"/>
          </a:p>
        </c:txPr>
        <c:crossAx val="92456448"/>
        <c:crosses val="autoZero"/>
        <c:crossBetween val="midCat"/>
      </c:valAx>
      <c:spPr>
        <a:solidFill>
          <a:srgbClr val="C0C0C0"/>
        </a:solidFill>
        <a:ln w="12700">
          <a:solidFill>
            <a:srgbClr val="808080"/>
          </a:solidFill>
          <a:prstDash val="solid"/>
        </a:ln>
      </c:spPr>
    </c:plotArea>
    <c:legend>
      <c:legendPos val="r"/>
      <c:layout>
        <c:manualLayout>
          <c:xMode val="edge"/>
          <c:yMode val="edge"/>
          <c:x val="0.78947368421052633"/>
          <c:y val="0.44326390052307274"/>
          <c:w val="0.18947368421052641"/>
          <c:h val="8.1560655981832222E-2"/>
        </c:manualLayout>
      </c:layout>
      <c:spPr>
        <a:solidFill>
          <a:srgbClr val="FFFFFF"/>
        </a:solidFill>
        <a:ln w="3175">
          <a:solidFill>
            <a:srgbClr val="000000"/>
          </a:solidFill>
          <a:prstDash val="solid"/>
        </a:ln>
      </c:spPr>
      <c:txPr>
        <a:bodyPr/>
        <a:lstStyle/>
        <a:p>
          <a:pPr>
            <a:defRPr sz="41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21879308044647"/>
          <c:y val="6.2678237063293119E-2"/>
          <c:w val="0.66848934940187665"/>
          <c:h val="0.84330718957885276"/>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dispEq val="1"/>
            <c:trendlineLbl>
              <c:layout/>
              <c:numFmt formatCode="General" sourceLinked="0"/>
              <c:spPr>
                <a:noFill/>
                <a:ln w="25400">
                  <a:noFill/>
                </a:ln>
              </c:spPr>
              <c:txPr>
                <a:bodyPr/>
                <a:lstStyle/>
                <a:p>
                  <a:pPr>
                    <a:defRPr sz="575" b="0" i="0" u="none" strike="noStrike" baseline="0">
                      <a:solidFill>
                        <a:srgbClr val="000000"/>
                      </a:solidFill>
                      <a:latin typeface="Arial"/>
                      <a:ea typeface="Arial"/>
                      <a:cs typeface="Arial"/>
                    </a:defRPr>
                  </a:pPr>
                  <a:endParaRPr lang="en-US"/>
                </a:p>
              </c:txPr>
            </c:trendlineLbl>
          </c:trendline>
          <c:xVal>
            <c:numRef>
              <c:f>Constants!$B$73:$B$88</c:f>
              <c:numCache>
                <c:formatCode>#\ ?/?</c:formatCode>
                <c:ptCount val="16"/>
                <c:pt idx="0">
                  <c:v>0.5</c:v>
                </c:pt>
                <c:pt idx="1">
                  <c:v>0.75</c:v>
                </c:pt>
                <c:pt idx="2">
                  <c:v>1</c:v>
                </c:pt>
                <c:pt idx="3">
                  <c:v>1.25</c:v>
                </c:pt>
                <c:pt idx="4">
                  <c:v>1.5</c:v>
                </c:pt>
                <c:pt idx="5">
                  <c:v>2</c:v>
                </c:pt>
                <c:pt idx="6">
                  <c:v>2.5</c:v>
                </c:pt>
                <c:pt idx="7">
                  <c:v>3</c:v>
                </c:pt>
                <c:pt idx="8">
                  <c:v>4</c:v>
                </c:pt>
                <c:pt idx="9">
                  <c:v>5</c:v>
                </c:pt>
                <c:pt idx="10">
                  <c:v>6</c:v>
                </c:pt>
                <c:pt idx="11">
                  <c:v>8</c:v>
                </c:pt>
                <c:pt idx="12">
                  <c:v>10</c:v>
                </c:pt>
                <c:pt idx="13">
                  <c:v>12</c:v>
                </c:pt>
                <c:pt idx="14">
                  <c:v>14</c:v>
                </c:pt>
                <c:pt idx="15">
                  <c:v>16</c:v>
                </c:pt>
              </c:numCache>
            </c:numRef>
          </c:xVal>
          <c:yVal>
            <c:numRef>
              <c:f>Constants!$U$73:$U$88</c:f>
              <c:numCache>
                <c:formatCode>_("$"* #,##0.00_);_("$"* \(#,##0.00\);_("$"* "-"??_);_(@_)</c:formatCode>
                <c:ptCount val="16"/>
                <c:pt idx="0">
                  <c:v>7.75</c:v>
                </c:pt>
                <c:pt idx="1">
                  <c:v>9.4499999999999993</c:v>
                </c:pt>
                <c:pt idx="2">
                  <c:v>12.9</c:v>
                </c:pt>
                <c:pt idx="3">
                  <c:v>17.2</c:v>
                </c:pt>
                <c:pt idx="4">
                  <c:v>101</c:v>
                </c:pt>
                <c:pt idx="5">
                  <c:v>106</c:v>
                </c:pt>
                <c:pt idx="6">
                  <c:v>128</c:v>
                </c:pt>
                <c:pt idx="7">
                  <c:v>142</c:v>
                </c:pt>
                <c:pt idx="8">
                  <c:v>181</c:v>
                </c:pt>
                <c:pt idx="9">
                  <c:v>283</c:v>
                </c:pt>
                <c:pt idx="10">
                  <c:v>283</c:v>
                </c:pt>
                <c:pt idx="11">
                  <c:v>580</c:v>
                </c:pt>
                <c:pt idx="12">
                  <c:v>1100</c:v>
                </c:pt>
                <c:pt idx="13">
                  <c:v>1675</c:v>
                </c:pt>
                <c:pt idx="14">
                  <c:v>3075</c:v>
                </c:pt>
                <c:pt idx="15">
                  <c:v>4350</c:v>
                </c:pt>
              </c:numCache>
            </c:numRef>
          </c:yVal>
        </c:ser>
        <c:axId val="92756992"/>
        <c:axId val="92766976"/>
      </c:scatterChart>
      <c:valAx>
        <c:axId val="92756992"/>
        <c:scaling>
          <c:orientation val="minMax"/>
        </c:scaling>
        <c:axPos val="b"/>
        <c:numFmt formatCode="#\ ?/?" sourceLinked="1"/>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92766976"/>
        <c:crosses val="autoZero"/>
        <c:crossBetween val="midCat"/>
      </c:valAx>
      <c:valAx>
        <c:axId val="92766976"/>
        <c:scaling>
          <c:orientation val="minMax"/>
        </c:scaling>
        <c:axPos val="l"/>
        <c:majorGridlines>
          <c:spPr>
            <a:ln w="3175">
              <a:solidFill>
                <a:srgbClr val="000000"/>
              </a:solidFill>
              <a:prstDash val="solid"/>
            </a:ln>
          </c:spPr>
        </c:majorGridlines>
        <c:numFmt formatCode="_(&quot;$&quot;* #,##0.00_);_(&quot;$&quot;* \(#,##0.00\);_(&quot;$&quot;* &quot;-&quot;??_);_(@_)" sourceLinked="1"/>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92756992"/>
        <c:crosses val="autoZero"/>
        <c:crossBetween val="midCat"/>
      </c:valAx>
      <c:spPr>
        <a:solidFill>
          <a:srgbClr val="C0C0C0"/>
        </a:solidFill>
        <a:ln w="12700">
          <a:solidFill>
            <a:srgbClr val="808080"/>
          </a:solidFill>
          <a:prstDash val="solid"/>
        </a:ln>
      </c:spPr>
    </c:plotArea>
    <c:legend>
      <c:legendPos val="r"/>
      <c:layout>
        <c:manualLayout>
          <c:xMode val="edge"/>
          <c:yMode val="edge"/>
          <c:x val="0.83060262275958718"/>
          <c:y val="0.44729464372508976"/>
          <c:w val="0.15482714933857311"/>
          <c:h val="7.6923376030987589E-2"/>
        </c:manualLayout>
      </c:layou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180746561886044"/>
          <c:y val="6.7901439228392785E-2"/>
          <c:w val="0.652259332023577"/>
          <c:h val="0.83024941601989433"/>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Eq val="1"/>
            <c:trendlineLbl>
              <c:layout>
                <c:manualLayout>
                  <c:xMode val="edge"/>
                  <c:yMode val="edge"/>
                  <c:x val="0.56974459724950977"/>
                  <c:y val="0.11728430412176927"/>
                </c:manualLayout>
              </c:layout>
              <c:numFmt formatCode="General" sourceLinked="0"/>
              <c:spPr>
                <a:noFill/>
                <a:ln w="25400">
                  <a:noFill/>
                </a:ln>
              </c:spPr>
              <c:txPr>
                <a:bodyPr/>
                <a:lstStyle/>
                <a:p>
                  <a:pPr>
                    <a:defRPr sz="525" b="0" i="0" u="none" strike="noStrike" baseline="0">
                      <a:solidFill>
                        <a:srgbClr val="000000"/>
                      </a:solidFill>
                      <a:latin typeface="Arial"/>
                      <a:ea typeface="Arial"/>
                      <a:cs typeface="Arial"/>
                    </a:defRPr>
                  </a:pPr>
                  <a:endParaRPr lang="en-US"/>
                </a:p>
              </c:txPr>
            </c:trendlineLbl>
          </c:trendline>
          <c:xVal>
            <c:numRef>
              <c:f>Constants!$B$86:$B$88</c:f>
              <c:numCache>
                <c:formatCode>#\ ?/?</c:formatCode>
                <c:ptCount val="3"/>
                <c:pt idx="0">
                  <c:v>12</c:v>
                </c:pt>
                <c:pt idx="1">
                  <c:v>14</c:v>
                </c:pt>
                <c:pt idx="2">
                  <c:v>16</c:v>
                </c:pt>
              </c:numCache>
            </c:numRef>
          </c:xVal>
          <c:yVal>
            <c:numRef>
              <c:f>Constants!$M$86:$M$88</c:f>
              <c:numCache>
                <c:formatCode>_("$"* #,##0.00_);_("$"* \(#,##0.00\);_("$"* "-"??_);_(@_)</c:formatCode>
                <c:ptCount val="3"/>
                <c:pt idx="0">
                  <c:v>4825</c:v>
                </c:pt>
                <c:pt idx="1">
                  <c:v>7300</c:v>
                </c:pt>
                <c:pt idx="2">
                  <c:v>10200</c:v>
                </c:pt>
              </c:numCache>
            </c:numRef>
          </c:yVal>
        </c:ser>
        <c:axId val="92811648"/>
        <c:axId val="92813184"/>
      </c:scatterChart>
      <c:valAx>
        <c:axId val="92811648"/>
        <c:scaling>
          <c:orientation val="minMax"/>
        </c:scaling>
        <c:axPos val="b"/>
        <c:numFmt formatCode="#\ ?/?" sourceLinked="1"/>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en-US"/>
          </a:p>
        </c:txPr>
        <c:crossAx val="92813184"/>
        <c:crosses val="autoZero"/>
        <c:crossBetween val="midCat"/>
      </c:valAx>
      <c:valAx>
        <c:axId val="92813184"/>
        <c:scaling>
          <c:orientation val="minMax"/>
        </c:scaling>
        <c:axPos val="l"/>
        <c:majorGridlines>
          <c:spPr>
            <a:ln w="3175">
              <a:solidFill>
                <a:srgbClr val="000000"/>
              </a:solidFill>
              <a:prstDash val="solid"/>
            </a:ln>
          </c:spPr>
        </c:majorGridlines>
        <c:numFmt formatCode="_(&quot;$&quot;* #,##0.00_);_(&quot;$&quot;* \(#,##0.00\);_(&quot;$&quot;* &quot;-&quot;??_);_(@_)" sourceLinked="1"/>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en-US"/>
          </a:p>
        </c:txPr>
        <c:crossAx val="92811648"/>
        <c:crosses val="autoZero"/>
        <c:crossBetween val="midCat"/>
      </c:valAx>
      <c:spPr>
        <a:solidFill>
          <a:srgbClr val="C0C0C0"/>
        </a:solidFill>
        <a:ln w="12700">
          <a:solidFill>
            <a:srgbClr val="808080"/>
          </a:solidFill>
          <a:prstDash val="solid"/>
        </a:ln>
      </c:spPr>
    </c:plotArea>
    <c:legend>
      <c:legendPos val="r"/>
      <c:layout>
        <c:manualLayout>
          <c:xMode val="edge"/>
          <c:yMode val="edge"/>
          <c:x val="0.81532416502946958"/>
          <c:y val="0.44135932082563756"/>
          <c:w val="0.16895874263261301"/>
          <c:h val="8.3333657366903194E-2"/>
        </c:manualLayout>
      </c:layout>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4488656461759342"/>
          <c:y val="7.6923352089600799E-2"/>
          <c:w val="0.57102351937522111"/>
          <c:h val="0.8095267053238947"/>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dispEq val="1"/>
            <c:trendlineLbl>
              <c:layout>
                <c:manualLayout>
                  <c:x val="2.5549005143098848E-2"/>
                  <c:y val="-5.9250395422729363E-2"/>
                </c:manualLayout>
              </c:layout>
              <c:numFmt formatCode="General" sourceLinked="0"/>
              <c:spPr>
                <a:noFill/>
                <a:ln w="25400">
                  <a:noFill/>
                </a:ln>
              </c:spPr>
              <c:txPr>
                <a:bodyPr/>
                <a:lstStyle/>
                <a:p>
                  <a:pPr>
                    <a:defRPr sz="400" b="0" i="0" u="none" strike="noStrike" baseline="0">
                      <a:solidFill>
                        <a:srgbClr val="000000"/>
                      </a:solidFill>
                      <a:latin typeface="Arial"/>
                      <a:ea typeface="Arial"/>
                      <a:cs typeface="Arial"/>
                    </a:defRPr>
                  </a:pPr>
                  <a:endParaRPr lang="en-US"/>
                </a:p>
              </c:txPr>
            </c:trendlineLbl>
          </c:trendline>
          <c:xVal>
            <c:numRef>
              <c:f>Constants!$B$78:$B$91</c:f>
              <c:numCache>
                <c:formatCode>#\ ?/?</c:formatCode>
                <c:ptCount val="14"/>
                <c:pt idx="0">
                  <c:v>2</c:v>
                </c:pt>
                <c:pt idx="1">
                  <c:v>2.5</c:v>
                </c:pt>
                <c:pt idx="2">
                  <c:v>3</c:v>
                </c:pt>
                <c:pt idx="3">
                  <c:v>4</c:v>
                </c:pt>
                <c:pt idx="4">
                  <c:v>5</c:v>
                </c:pt>
                <c:pt idx="5">
                  <c:v>6</c:v>
                </c:pt>
                <c:pt idx="6">
                  <c:v>8</c:v>
                </c:pt>
                <c:pt idx="7">
                  <c:v>10</c:v>
                </c:pt>
                <c:pt idx="8">
                  <c:v>12</c:v>
                </c:pt>
                <c:pt idx="9">
                  <c:v>14</c:v>
                </c:pt>
                <c:pt idx="10">
                  <c:v>16</c:v>
                </c:pt>
                <c:pt idx="11">
                  <c:v>18</c:v>
                </c:pt>
                <c:pt idx="12">
                  <c:v>20</c:v>
                </c:pt>
                <c:pt idx="13">
                  <c:v>24</c:v>
                </c:pt>
              </c:numCache>
            </c:numRef>
          </c:xVal>
          <c:yVal>
            <c:numRef>
              <c:f>Constants!$S$78:$S$91</c:f>
              <c:numCache>
                <c:formatCode>_("$"* #,##0.00_);_("$"* \(#,##0.00\);_("$"* "-"??_);_(@_)</c:formatCode>
                <c:ptCount val="14"/>
                <c:pt idx="0">
                  <c:v>227</c:v>
                </c:pt>
                <c:pt idx="1">
                  <c:v>228</c:v>
                </c:pt>
                <c:pt idx="2">
                  <c:v>240</c:v>
                </c:pt>
                <c:pt idx="3">
                  <c:v>271</c:v>
                </c:pt>
                <c:pt idx="4">
                  <c:v>335</c:v>
                </c:pt>
                <c:pt idx="5">
                  <c:v>375</c:v>
                </c:pt>
                <c:pt idx="6">
                  <c:v>485</c:v>
                </c:pt>
                <c:pt idx="7">
                  <c:v>620</c:v>
                </c:pt>
                <c:pt idx="8">
                  <c:v>925</c:v>
                </c:pt>
                <c:pt idx="9">
                  <c:v>1225</c:v>
                </c:pt>
                <c:pt idx="10">
                  <c:v>1600</c:v>
                </c:pt>
                <c:pt idx="11">
                  <c:v>2075</c:v>
                </c:pt>
                <c:pt idx="12">
                  <c:v>2550</c:v>
                </c:pt>
                <c:pt idx="13">
                  <c:v>3575</c:v>
                </c:pt>
              </c:numCache>
            </c:numRef>
          </c:yVal>
        </c:ser>
        <c:axId val="92837760"/>
        <c:axId val="92839296"/>
      </c:scatterChart>
      <c:valAx>
        <c:axId val="92837760"/>
        <c:scaling>
          <c:orientation val="minMax"/>
        </c:scaling>
        <c:axPos val="b"/>
        <c:numFmt formatCode="#\ ?/?" sourceLinked="1"/>
        <c:tickLblPos val="nextTo"/>
        <c:spPr>
          <a:ln w="3175">
            <a:solidFill>
              <a:srgbClr val="000000"/>
            </a:solidFill>
            <a:prstDash val="solid"/>
          </a:ln>
        </c:spPr>
        <c:txPr>
          <a:bodyPr rot="0" vert="horz"/>
          <a:lstStyle/>
          <a:p>
            <a:pPr>
              <a:defRPr sz="400" b="0" i="0" u="none" strike="noStrike" baseline="0">
                <a:solidFill>
                  <a:srgbClr val="000000"/>
                </a:solidFill>
                <a:latin typeface="Arial"/>
                <a:ea typeface="Arial"/>
                <a:cs typeface="Arial"/>
              </a:defRPr>
            </a:pPr>
            <a:endParaRPr lang="en-US"/>
          </a:p>
        </c:txPr>
        <c:crossAx val="92839296"/>
        <c:crosses val="autoZero"/>
        <c:crossBetween val="midCat"/>
      </c:valAx>
      <c:valAx>
        <c:axId val="92839296"/>
        <c:scaling>
          <c:orientation val="minMax"/>
        </c:scaling>
        <c:axPos val="l"/>
        <c:majorGridlines>
          <c:spPr>
            <a:ln w="3175">
              <a:solidFill>
                <a:srgbClr val="000000"/>
              </a:solidFill>
              <a:prstDash val="solid"/>
            </a:ln>
          </c:spPr>
        </c:majorGridlines>
        <c:numFmt formatCode="_(&quot;$&quot;* #,##0.00_);_(&quot;$&quot;* \(#,##0.00\);_(&quot;$&quot;* &quot;-&quot;??_);_(@_)" sourceLinked="1"/>
        <c:tickLblPos val="nextTo"/>
        <c:spPr>
          <a:ln w="3175">
            <a:solidFill>
              <a:srgbClr val="000000"/>
            </a:solidFill>
            <a:prstDash val="solid"/>
          </a:ln>
        </c:spPr>
        <c:txPr>
          <a:bodyPr rot="0" vert="horz"/>
          <a:lstStyle/>
          <a:p>
            <a:pPr>
              <a:defRPr sz="400" b="0" i="0" u="none" strike="noStrike" baseline="0">
                <a:solidFill>
                  <a:srgbClr val="000000"/>
                </a:solidFill>
                <a:latin typeface="Arial"/>
                <a:ea typeface="Arial"/>
                <a:cs typeface="Arial"/>
              </a:defRPr>
            </a:pPr>
            <a:endParaRPr lang="en-US"/>
          </a:p>
        </c:txPr>
        <c:crossAx val="92837760"/>
        <c:crosses val="autoZero"/>
        <c:crossBetween val="midCat"/>
      </c:valAx>
      <c:spPr>
        <a:solidFill>
          <a:srgbClr val="C0C0C0"/>
        </a:solidFill>
        <a:ln w="12700">
          <a:solidFill>
            <a:srgbClr val="808080"/>
          </a:solidFill>
          <a:prstDash val="solid"/>
        </a:ln>
      </c:spPr>
    </c:plotArea>
    <c:legend>
      <c:legendPos val="r"/>
      <c:layout>
        <c:manualLayout>
          <c:xMode val="edge"/>
          <c:yMode val="edge"/>
          <c:x val="0.77272846575996179"/>
          <c:y val="0.43956197782969486"/>
          <c:w val="0.20454575280362691"/>
          <c:h val="8.4249468816398027E-2"/>
        </c:manualLayout>
      </c:layout>
      <c:spPr>
        <a:solidFill>
          <a:srgbClr val="FFFFFF"/>
        </a:solidFill>
        <a:ln w="3175">
          <a:solidFill>
            <a:srgbClr val="000000"/>
          </a:solidFill>
          <a:prstDash val="solid"/>
        </a:ln>
      </c:spPr>
      <c:txPr>
        <a:bodyPr/>
        <a:lstStyle/>
        <a:p>
          <a:pPr>
            <a:defRPr sz="36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energydesignresources.com/"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74547</xdr:colOff>
      <xdr:row>11</xdr:row>
      <xdr:rowOff>140392</xdr:rowOff>
    </xdr:from>
    <xdr:to>
      <xdr:col>9</xdr:col>
      <xdr:colOff>598422</xdr:colOff>
      <xdr:row>34</xdr:row>
      <xdr:rowOff>83242</xdr:rowOff>
    </xdr:to>
    <xdr:sp macro="" textlink="">
      <xdr:nvSpPr>
        <xdr:cNvPr id="22529" name="Text Box 1025"/>
        <xdr:cNvSpPr txBox="1">
          <a:spLocks noChangeArrowheads="1"/>
        </xdr:cNvSpPr>
      </xdr:nvSpPr>
      <xdr:spPr bwMode="auto">
        <a:xfrm>
          <a:off x="74547" y="2227609"/>
          <a:ext cx="6040092" cy="3752850"/>
        </a:xfrm>
        <a:prstGeom prst="rect">
          <a:avLst/>
        </a:prstGeom>
        <a:solidFill>
          <a:srgbClr val="FFFFFF"/>
        </a:solidFill>
        <a:ln w="9525">
          <a:solidFill>
            <a:srgbClr val="000000"/>
          </a:solidFill>
          <a:miter lim="800000"/>
          <a:headEnd/>
          <a:tailEnd/>
        </a:ln>
      </xdr:spPr>
      <xdr:txBody>
        <a:bodyPr vertOverflow="clip" wrap="square" lIns="91440" tIns="137160" rIns="91440" bIns="137160" anchor="t" upright="1"/>
        <a:lstStyle/>
        <a:p>
          <a:pPr algn="l" rtl="0">
            <a:defRPr sz="1000"/>
          </a:pPr>
          <a:r>
            <a:rPr lang="en-US" sz="1000" b="1" i="0" u="none" strike="noStrike" baseline="0">
              <a:solidFill>
                <a:srgbClr val="000000"/>
              </a:solidFill>
              <a:latin typeface="MS Sans Serif"/>
            </a:rPr>
            <a:t>Introduction</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Traditionally, most designers size piping using rules of thumb, such as limiting friction rate (e.g., 4 feet per 100 feet of pipe), water velocity (e.g., 10 feet per second), or a combination of the two. These methods are expedient and reproducible, but they seldom result in an optimum design on either a first-cost or life-cycle cost basis. The optimum pipe size for a given design flow rate is a function of: </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 Location of pipe in the system (whether or not it is in the critical circuit (1));</a:t>
          </a:r>
        </a:p>
        <a:p>
          <a:pPr algn="l" rtl="0">
            <a:defRPr sz="1000"/>
          </a:pPr>
          <a:r>
            <a:rPr lang="en-US" sz="800" b="0" i="0" u="none" strike="noStrike" baseline="0">
              <a:solidFill>
                <a:srgbClr val="000000"/>
              </a:solidFill>
              <a:latin typeface="MS Sans Serif"/>
            </a:rPr>
            <a:t>- First costs of installed piping; </a:t>
          </a:r>
        </a:p>
        <a:p>
          <a:pPr algn="l" rtl="0">
            <a:defRPr sz="1000"/>
          </a:pPr>
          <a:r>
            <a:rPr lang="en-US" sz="800" b="0" i="0" u="none" strike="noStrike" baseline="0">
              <a:solidFill>
                <a:srgbClr val="000000"/>
              </a:solidFill>
              <a:latin typeface="MS Sans Serif"/>
            </a:rPr>
            <a:t>- Pump energy costs, which in turn will depend on pump and motor efficiency, distribution system type (constant or variable flow), annual flow profile through the system as well as the pipe in question, type of pump control (variable speed or riding pump curve), etc.; </a:t>
          </a:r>
        </a:p>
        <a:p>
          <a:pPr algn="l" rtl="0">
            <a:defRPr sz="1000"/>
          </a:pPr>
          <a:r>
            <a:rPr lang="en-US" sz="800" b="0" i="0" u="none" strike="noStrike" baseline="0">
              <a:solidFill>
                <a:srgbClr val="000000"/>
              </a:solidFill>
              <a:latin typeface="MS Sans Serif"/>
            </a:rPr>
            <a:t>- Erosion considerations (high velocities can contribute to hastening of pipe wall deterioration); </a:t>
          </a:r>
        </a:p>
        <a:p>
          <a:pPr algn="l" rtl="0">
            <a:defRPr sz="1000"/>
          </a:pPr>
          <a:r>
            <a:rPr lang="en-US" sz="800" b="0" i="0" u="none" strike="noStrike" baseline="0">
              <a:solidFill>
                <a:srgbClr val="000000"/>
              </a:solidFill>
              <a:latin typeface="MS Sans Serif"/>
            </a:rPr>
            <a:t>- Noise  considerations, such as velocity limits to minimize noise caused by turbulence and the proximity of the pipe to noise-sensitive areas; </a:t>
          </a:r>
        </a:p>
        <a:p>
          <a:pPr algn="l" rtl="0">
            <a:defRPr sz="1000"/>
          </a:pPr>
          <a:r>
            <a:rPr lang="en-US" sz="800" b="0" i="0" u="none" strike="noStrike" baseline="0">
              <a:solidFill>
                <a:srgbClr val="000000"/>
              </a:solidFill>
              <a:latin typeface="MS Sans Serif"/>
            </a:rPr>
            <a:t>- Physical constraints; and </a:t>
          </a:r>
        </a:p>
        <a:p>
          <a:pPr algn="l" rtl="0">
            <a:defRPr sz="1000"/>
          </a:pPr>
          <a:r>
            <a:rPr lang="en-US" sz="800" b="0" i="0" u="none" strike="noStrike" baseline="0">
              <a:solidFill>
                <a:srgbClr val="000000"/>
              </a:solidFill>
              <a:latin typeface="MS Sans Serif"/>
            </a:rPr>
            <a:t>- Budget constraints. </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The CoolTools Pipe Size Optimization Tool incorporates the above design and cost factors, allowing the designer to find the lowest cost piping system design.</a:t>
          </a:r>
        </a:p>
        <a:p>
          <a:pPr algn="l" rtl="0">
            <a:defRPr sz="1000"/>
          </a:pPr>
          <a:endParaRPr lang="en-US" sz="800" b="0"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600" b="0" i="0" u="none" strike="noStrike" baseline="0">
              <a:solidFill>
                <a:srgbClr val="000000"/>
              </a:solidFill>
              <a:latin typeface="MS Sans Serif"/>
            </a:rPr>
            <a:t>  1. The critical circuit is the circuit within the system with the highest pressure loss that determines pump head. This is often the longest run in the system, but not always. The pressure loss in this circuit, and only this circuit, drives annual energy consumption.</a:t>
          </a:r>
        </a:p>
      </xdr:txBody>
    </xdr:sp>
    <xdr:clientData/>
  </xdr:twoCellAnchor>
  <xdr:twoCellAnchor>
    <xdr:from>
      <xdr:col>0</xdr:col>
      <xdr:colOff>76200</xdr:colOff>
      <xdr:row>35</xdr:row>
      <xdr:rowOff>9525</xdr:rowOff>
    </xdr:from>
    <xdr:to>
      <xdr:col>9</xdr:col>
      <xdr:colOff>600075</xdr:colOff>
      <xdr:row>102</xdr:row>
      <xdr:rowOff>76200</xdr:rowOff>
    </xdr:to>
    <xdr:sp macro="" textlink="">
      <xdr:nvSpPr>
        <xdr:cNvPr id="22530" name="Text Box 1026"/>
        <xdr:cNvSpPr txBox="1">
          <a:spLocks noChangeArrowheads="1"/>
        </xdr:cNvSpPr>
      </xdr:nvSpPr>
      <xdr:spPr bwMode="auto">
        <a:xfrm>
          <a:off x="76200" y="5943600"/>
          <a:ext cx="6010275" cy="10915650"/>
        </a:xfrm>
        <a:prstGeom prst="rect">
          <a:avLst/>
        </a:prstGeom>
        <a:solidFill>
          <a:srgbClr val="FFFFFF"/>
        </a:solidFill>
        <a:ln w="9525">
          <a:solidFill>
            <a:srgbClr val="000000"/>
          </a:solidFill>
          <a:miter lim="800000"/>
          <a:headEnd/>
          <a:tailEnd/>
        </a:ln>
      </xdr:spPr>
      <xdr:txBody>
        <a:bodyPr vertOverflow="clip" wrap="square" lIns="137160" tIns="137160" rIns="137160" bIns="137160" anchor="t" upright="1"/>
        <a:lstStyle/>
        <a:p>
          <a:pPr algn="l" rtl="0">
            <a:defRPr sz="1000"/>
          </a:pPr>
          <a:r>
            <a:rPr lang="en-US" sz="1000" b="1" i="0" u="none" strike="noStrike" baseline="0">
              <a:solidFill>
                <a:srgbClr val="000000"/>
              </a:solidFill>
              <a:latin typeface="MS Sans Serif"/>
            </a:rPr>
            <a:t>System Assumptions Tab</a:t>
          </a: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System Type and Average Water Temperature</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System options include chilled water, hot water, and condenser water. Choice of system type impacts the annual energy calculation. For chilled water, pump heat is added to total annual energy, for hot water, pump heat is subtracted, and for condenser water, pump heat is ignored. </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System type will also select a default average water temperature, which will appear in the cell below. Default temperatures for the three system types can be adjusted on the Constants tab.</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Is this circuit the critical circuit? </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The Tool optimizes pipe sizes for one circuit at a time. If CRITICAL is selected, the Tool will treat the circuit as the critical circuit in the system, taking into account energy cost when determining the least expensive alternative. If NON-CRITICAL is selected, the Tool will treat the circuit as a non-critical circuit (2) , and will not take energy cost into account for sizing. Non-critical circuits will be sized according to the selected noise and erosion criteria. When NON-CRITICAL is selected, the Lifecycle Energy Cost output will read "-" because it is not possible to calculate energy consumption from the non-critical circuit.</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Note:  If NON-CRITICAL is selected and noise and erosion velocity limits are turned off, then the optimized pipe size will be the smallest available pipe size.</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System operation</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Select Contstant Flow/ Constant Speed (CFCS), Variable Flow/ Constant Speed (VFCS), Variable Flow/ Variable Speed with Fixed Set Point (VFVSFSP), or Variable Flow/ Variable Speed with Reset Set Point (VFVSRSP). This selection will impact annual energy consumption. Variable flow selections will reduce annual energy consumption according to the factors specified on the Constants tab.</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Hours per year of operation</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Enter total annual estimated hours of operation. </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Pipe insulation thickness</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Select desired pipe insulation thickness or none. The Title 24 option will automatically select the code-required insulation thickness for the specified water temperature and pipe diameter. </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This input is one of three that can be applied to override user inputs for individual pipe segments on the Piping Circuit tab. Once a selection is made, the Apply button next to the input must be clicked. This will overwrite all inputs in the Insulation Wall Thickness column on the Piping Circuit page. After clicking Apply, further modifications to the insulation thickness for individual segments may be made. However, these modifications will be overwritten if the Apply button is clicked again.</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Fluid speed limit for noise sensitivity?</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If noise is a concern, velocities may be limited to minimize noise caused by turbulence. If YES is selected and pipe size is chosen as AUTO, then the automated pipe sizing function will not allow the noise velocity limit to be exceeded. If YES is selected and pipe size is chosen manually, then a red-flagged cell will indicate when the maximum noise velocity is exceeded for a particular pipe segment. These limits (starting at 3 fps for ¾" pipe and increasing linearly to 20 fps for 30" pipe (3) ) are given on the Constants tab and can be edited there. </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Fluid speed limit for erosion control?</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If pipe wall erosion is a concern, velocities may be limited to reduce the risk of erosion. If YES is selected and pipe size is chosen as AUTO, then the automated pipe sizing function will not allow the erosion velocity limit to be exceeded. If YES is selected and pipe size is chosen manually, then a red-flagged cell will indicate when the maximium erosion velocity is exceeded. Velocity limits are given on the Constants tab. While these and similar maximum velocity guidelines have been around for years, they have never been corroborated by research. In fact, most of the research on this issue has indicated that unless there are particles or air bubbles in the water, there is little erosion of piping regardless of velocity, within the normal velocity ranges found in commercial systems.</a:t>
          </a:r>
          <a:endParaRPr lang="en-US" sz="800" b="1" i="0" u="none" strike="noStrike" baseline="0">
            <a:solidFill>
              <a:srgbClr val="000000"/>
            </a:solidFill>
            <a:latin typeface="MS Sans Serif"/>
          </a:endParaRPr>
        </a:p>
        <a:p>
          <a:pPr algn="l" rtl="0">
            <a:defRPr sz="1000"/>
          </a:pPr>
          <a:endParaRPr lang="en-US" sz="8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This input is one of three that can be applied to override user inputs for individual pipe segments on the Piping Circuit tab. Once a selection is made, the Apply button next to the input must be clicked. This will overwrite all inputs in the Flow Speed Limit to Prevent Erosion? column on the Piping Circuit page. After clicking Apply, further modifications to this column for individual segments may be made. However, these modifications will be overwritten if the Apply button is clicked again.</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600" b="0" i="0" u="none" strike="noStrike" baseline="0">
              <a:solidFill>
                <a:srgbClr val="000000"/>
              </a:solidFill>
              <a:latin typeface="MS Sans Serif"/>
            </a:rPr>
            <a:t>2. Care must be taken when sizing a non-critical circuit. Energy consumption is independent of pressure loss in a non-critical circuit as long as the total pressure loss is not greater than that of the critical circuit. If pressure loss in a non-critical circuit exceeds pressure loss in the critical circuit, then that becomes the new critical circuit. Pressure loss for a circuit can be obtained from the spreadsheet’s Total Head (Feet) output at the bottom of the Piping Circuit sheet.</a:t>
          </a:r>
        </a:p>
        <a:p>
          <a:pPr algn="l" rtl="0">
            <a:defRPr sz="1000"/>
          </a:pPr>
          <a:r>
            <a:rPr lang="en-US" sz="600" b="0" i="0" u="none" strike="noStrike" baseline="0">
              <a:solidFill>
                <a:srgbClr val="000000"/>
              </a:solidFill>
              <a:latin typeface="MS Sans Serif"/>
            </a:rPr>
            <a:t> </a:t>
          </a:r>
        </a:p>
        <a:p>
          <a:pPr algn="l" rtl="0">
            <a:defRPr sz="1000"/>
          </a:pPr>
          <a:r>
            <a:rPr lang="en-US" sz="600" b="0" i="0" u="none" strike="noStrike" baseline="0">
              <a:solidFill>
                <a:srgbClr val="000000"/>
              </a:solidFill>
              <a:latin typeface="MS Sans Serif"/>
            </a:rPr>
            <a:t>3. Wilson, George. 1988. Wilson Ihrig Associates, Oakland, Calif. Unpublished information from an ASHRAE Golden Gate Chapter seminar.</a:t>
          </a:r>
          <a:endParaRPr lang="en-US" sz="700" b="1" i="0" u="none" strike="noStrike" baseline="0">
            <a:solidFill>
              <a:srgbClr val="000000"/>
            </a:solidFill>
            <a:latin typeface="Courier New"/>
            <a:cs typeface="Courier New"/>
          </a:endParaRPr>
        </a:p>
        <a:p>
          <a:pPr algn="l" rtl="0">
            <a:defRPr sz="1000"/>
          </a:pPr>
          <a:r>
            <a:rPr lang="en-US" sz="700" b="1" i="0" u="none" strike="noStrike" baseline="0">
              <a:solidFill>
                <a:srgbClr val="000000"/>
              </a:solidFill>
              <a:latin typeface="Courier New"/>
              <a:cs typeface="Courier New"/>
            </a:rPr>
            <a:t> </a:t>
          </a:r>
          <a:endParaRPr lang="en-US" sz="1000" b="1" i="0" u="none" strike="noStrike" baseline="0">
            <a:solidFill>
              <a:srgbClr val="000000"/>
            </a:solidFill>
            <a:latin typeface="MS Sans Serif"/>
          </a:endParaRPr>
        </a:p>
        <a:p>
          <a:pPr algn="l" rtl="0">
            <a:defRPr sz="1000"/>
          </a:pPr>
          <a:endParaRPr lang="en-US" sz="800" b="0" i="1" u="none" strike="noStrike" baseline="0">
            <a:solidFill>
              <a:srgbClr val="000000"/>
            </a:solidFill>
            <a:latin typeface="Courier New"/>
            <a:cs typeface="Courier New"/>
          </a:endParaRPr>
        </a:p>
        <a:p>
          <a:pPr algn="l" rtl="0">
            <a:defRPr sz="1000"/>
          </a:pPr>
          <a:endParaRPr lang="en-US" sz="1000" b="0" i="1" u="none" strike="noStrike" baseline="0">
            <a:solidFill>
              <a:srgbClr val="000000"/>
            </a:solidFill>
            <a:latin typeface="Courier New"/>
            <a:cs typeface="Courier New"/>
          </a:endParaRPr>
        </a:p>
        <a:p>
          <a:pPr algn="l" rtl="0">
            <a:defRPr sz="1000"/>
          </a:pPr>
          <a:endParaRPr lang="en-US" sz="1000" b="0" i="1" u="none" strike="noStrike" baseline="0">
            <a:solidFill>
              <a:srgbClr val="000000"/>
            </a:solidFill>
            <a:latin typeface="Courier New"/>
            <a:cs typeface="Courier New"/>
          </a:endParaRPr>
        </a:p>
      </xdr:txBody>
    </xdr:sp>
    <xdr:clientData/>
  </xdr:twoCellAnchor>
  <xdr:twoCellAnchor editAs="oneCell">
    <xdr:from>
      <xdr:col>6</xdr:col>
      <xdr:colOff>190500</xdr:colOff>
      <xdr:row>8</xdr:row>
      <xdr:rowOff>95250</xdr:rowOff>
    </xdr:from>
    <xdr:to>
      <xdr:col>10</xdr:col>
      <xdr:colOff>114300</xdr:colOff>
      <xdr:row>11</xdr:row>
      <xdr:rowOff>114300</xdr:rowOff>
    </xdr:to>
    <xdr:pic>
      <xdr:nvPicPr>
        <xdr:cNvPr id="22587" name="Picture 1027" descr="Logo with name"/>
        <xdr:cNvPicPr>
          <a:picLocks noChangeAspect="1" noChangeArrowheads="1"/>
        </xdr:cNvPicPr>
      </xdr:nvPicPr>
      <xdr:blipFill>
        <a:blip xmlns:r="http://schemas.openxmlformats.org/officeDocument/2006/relationships" r:embed="rId1" cstate="print"/>
        <a:srcRect/>
        <a:stretch>
          <a:fillRect/>
        </a:stretch>
      </xdr:blipFill>
      <xdr:spPr bwMode="auto">
        <a:xfrm>
          <a:off x="3848100" y="1390650"/>
          <a:ext cx="2362200" cy="771525"/>
        </a:xfrm>
        <a:prstGeom prst="rect">
          <a:avLst/>
        </a:prstGeom>
        <a:noFill/>
        <a:ln w="9525">
          <a:noFill/>
          <a:miter lim="800000"/>
          <a:headEnd/>
          <a:tailEnd/>
        </a:ln>
      </xdr:spPr>
    </xdr:pic>
    <xdr:clientData/>
  </xdr:twoCellAnchor>
  <xdr:twoCellAnchor>
    <xdr:from>
      <xdr:col>0</xdr:col>
      <xdr:colOff>66675</xdr:colOff>
      <xdr:row>104</xdr:row>
      <xdr:rowOff>0</xdr:rowOff>
    </xdr:from>
    <xdr:to>
      <xdr:col>9</xdr:col>
      <xdr:colOff>590550</xdr:colOff>
      <xdr:row>167</xdr:row>
      <xdr:rowOff>66675</xdr:rowOff>
    </xdr:to>
    <xdr:sp macro="" textlink="">
      <xdr:nvSpPr>
        <xdr:cNvPr id="22532" name="Text Box 1028"/>
        <xdr:cNvSpPr txBox="1">
          <a:spLocks noChangeArrowheads="1"/>
        </xdr:cNvSpPr>
      </xdr:nvSpPr>
      <xdr:spPr bwMode="auto">
        <a:xfrm>
          <a:off x="66675" y="17106900"/>
          <a:ext cx="6010275" cy="10267950"/>
        </a:xfrm>
        <a:prstGeom prst="rect">
          <a:avLst/>
        </a:prstGeom>
        <a:solidFill>
          <a:srgbClr val="FFFFFF"/>
        </a:solidFill>
        <a:ln w="9525">
          <a:solidFill>
            <a:srgbClr val="000000"/>
          </a:solidFill>
          <a:miter lim="800000"/>
          <a:headEnd/>
          <a:tailEnd/>
        </a:ln>
      </xdr:spPr>
      <xdr:txBody>
        <a:bodyPr vertOverflow="clip" wrap="square" lIns="91440" tIns="137160" rIns="91440" bIns="137160" anchor="t" upright="1"/>
        <a:lstStyle/>
        <a:p>
          <a:pPr algn="l" rtl="0">
            <a:defRPr sz="1000"/>
          </a:pPr>
          <a:r>
            <a:rPr lang="en-US" sz="1000" b="1" i="0" u="none" strike="noStrike" baseline="0">
              <a:solidFill>
                <a:srgbClr val="000000"/>
              </a:solidFill>
              <a:latin typeface="MS Sans Serif"/>
            </a:rPr>
            <a:t>Piping Circuit Tab</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The Piping Circuit tab contains inputs for each pipe segment and system element within the piping circuit. For each segment, complete all yellow fields with appropriate physical data. All white fields are locked and may not be edited.</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Sheet Management Functions</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When starting a new pipe circuit, always clear sheet and reset formulas with the Clear and Apply User Settings button at the top left corner of the sheet. Note: This will clear ALL user inputs and will apply the selections from the three Settings inputs (insulation thickness, erosion velocity limit, and noise velocity limit) to all piping segments. This can not be undone.</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In order to preserve the structure of the spreadsheet (formulas and conditional formatting), do not copy and paste cells or rows, and do not manually add or delete rows using Excel functions. When adding or deleting piping segments, always use the Add a Row and Delete a Row buttons. Two rows is the minimum number of rows allowed.</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Troubleshooting: If the function buttons (Add a Row, Optimize Pipe Size, etc.) will not work, hit Esc or Return to finish editing cells. Function buttons will not work while cells are in edit mode. </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Pipe Size Selection/ Automated Sizing </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If automatic pipe sizing is desired for a segment, select AUTO in the pull-down menu under Select Pipe Size or AUTO. Segments not containing AUTO in this field will be ignored during the optimization routine.</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If a fixed pipe size is desired for a segment, select the size from the options in the pull-down menu.</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Regardless of pipe sizing choice (AUTO or fixed size), the pipe size used in the spreadsheet will be displayed in the adjacent column, under Pipe Size.</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Segment Auto-grouping</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All segments must be assigned to a segment group when using the auto-size feature. If it is desired that all segments containing the same flow rate be grouped together and optimized to a single size, click the Auto Group button below the Segment Grouping heading. This will automatically create a group number for each distinct flow rate within the system and assign the appropriate group number to each segment. Only segments that are selected for auto-sizing will be assigned a group number. These group assignments may be edited manually, but all changes will be overwritten if Auto Group is clicked again.</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Total system flow</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Enter the flow rate, in gallons per minute, for the entire system. Note, this is not the flow for the current circuit being modeled, but for all circuits in the system.</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The default value for this cell is the maximum flow rate of all listed pipe segments. This can be overwritten by the user, however the formula can only be restored by clicking Clear and Apply User Settings.</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Insulation Thickness</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If the insulation thickness has been set using the Apply button on the Settings tab (see Pipe Insulation Thickness under Settings Tab: Piping above), the insulation thickness setting for all segments will match the input on the Settings tab. If Title 24 has been selected, the spreadsheet will determine the code-required insulation thickness based on water temperature and pipe size and this thickness will be displayed in the adjacent column, under Insulation Thickness. If a fixed thickness has been selected, it will be displayed in the Insulation Thickness column.</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Optimize Pipe Size</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Once pipe segment setup is complete, pipe sizes may be optimized by clicking the Auto-select Optimized Pipe Size button at the top left corner. The tool will iterate through pipe size options for each segment selected for auto sizing until the lowest possible combination of first cost and life-cycle cost is found. Auto-sized segments with the same segment grouping number will be treated as a single pipe size and iterated to give the group of segments the lowest combined cost.</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All lifecycle parameters may be adjusted on the Settings page. Lifecycle cost is calculated annually for the system lifetime specified and then discounted back to the present using the specified discount rate. Energy escalation and/or inflation rates may be applied to the lifecycle cost. These rates are additive: a 1.0% energy escalation rate and a 1.8% inflation rate will result in an annual energy rate increase of 2.8%.</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Occasionally, selected valves are not available in the optimized pipe size. In this case, an error message will appear and the problem valves will be tagged in red. </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The  Auto-select Optimized Pipe Size button will grey out after optimization is completed, showing that the button is disabled. When a change is made to any of the inputs, the button will become enabled again.</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xdr:txBody>
    </xdr:sp>
    <xdr:clientData/>
  </xdr:twoCellAnchor>
  <xdr:twoCellAnchor>
    <xdr:from>
      <xdr:col>0</xdr:col>
      <xdr:colOff>57150</xdr:colOff>
      <xdr:row>168</xdr:row>
      <xdr:rowOff>133350</xdr:rowOff>
    </xdr:from>
    <xdr:to>
      <xdr:col>9</xdr:col>
      <xdr:colOff>581025</xdr:colOff>
      <xdr:row>212</xdr:row>
      <xdr:rowOff>85725</xdr:rowOff>
    </xdr:to>
    <xdr:sp macro="" textlink="">
      <xdr:nvSpPr>
        <xdr:cNvPr id="22533" name="Text Box 1029"/>
        <xdr:cNvSpPr txBox="1">
          <a:spLocks noChangeArrowheads="1"/>
        </xdr:cNvSpPr>
      </xdr:nvSpPr>
      <xdr:spPr bwMode="auto">
        <a:xfrm>
          <a:off x="57150" y="27603450"/>
          <a:ext cx="6010275" cy="7077075"/>
        </a:xfrm>
        <a:prstGeom prst="rect">
          <a:avLst/>
        </a:prstGeom>
        <a:solidFill>
          <a:srgbClr val="FFFFFF"/>
        </a:solidFill>
        <a:ln w="9525">
          <a:solidFill>
            <a:srgbClr val="000000"/>
          </a:solidFill>
          <a:miter lim="800000"/>
          <a:headEnd/>
          <a:tailEnd/>
        </a:ln>
      </xdr:spPr>
      <xdr:txBody>
        <a:bodyPr vertOverflow="clip" wrap="square" lIns="91440" tIns="137160" rIns="91440" bIns="137160" anchor="t" upright="1"/>
        <a:lstStyle/>
        <a:p>
          <a:pPr algn="l" rtl="0">
            <a:defRPr sz="1000"/>
          </a:pPr>
          <a:r>
            <a:rPr lang="en-US" sz="1000" b="1" i="0" u="none" strike="noStrike" baseline="0">
              <a:solidFill>
                <a:srgbClr val="000000"/>
              </a:solidFill>
              <a:latin typeface="MS Sans Serif"/>
            </a:rPr>
            <a:t>Economic Assumptions</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Life-cycle cost for the pipe segment is calculated by taking the net present value of electricity expenditures over the specified lifetime of the piping system. An inflation rate and/or an energy escalation rate can be applied to the annual energy expenditures and a discount rate is specified to discount the expenditures back to present value.</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City cost index multipliers </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Most pricing data come from RS Means Mechanical Cost Data, 2008. The location adjustment factors for materials and labor are provided for seven California cities. Average national factors are also provided. These adjustment factors can be edited on the Constants tab. New markets may be added either by entering the new market data in the last row, titled "NEW MARKET" or by overwriting one of the existing markets.</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Electricity cost/ Gas cost</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Enter local electricity and gas prices. Gas price will be used only when the HW system type is selected</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Apply an inflation rate</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Inflation rate and energy escalation rate, if both are used, will be applied additively. For example, an inflation rate of 1.8% and an energy escalation rate of 1.0% will result in an overall annual energy rate increase of 2.8%. If no inflation rate is desired, enter 0.</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Apply an energy escalation rate</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Inflation rate and energy escalation rate, if both are used will be applied additively. For example, an inflation rate of 1.8% and an energy escalation rate of 1.0% will result in an overall annual energy rate increase of 2.8%. If no energy escalation rate is desired, enter 0.</a:t>
          </a: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Discount rate</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This rate is used to discount the annual electricity expenditures over the projected lifetime of the system back to the present. If an inflation rate is applied (see above), then this should be the nominal discount rate. If an inflation rate is not applied, then this should be the real discount rate.</a:t>
          </a:r>
        </a:p>
        <a:p>
          <a:pPr algn="l" rtl="0">
            <a:defRPr sz="1000"/>
          </a:pP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Lifetime of system</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Enter the projected lifetime of the system. Input must be less than or equal to 40 years.</a:t>
          </a:r>
          <a:endParaRPr lang="en-US" sz="1000" b="1" i="0" u="none" strike="noStrike" baseline="0">
            <a:solidFill>
              <a:srgbClr val="000000"/>
            </a:solidFill>
            <a:latin typeface="MS Sans Serif"/>
          </a:endParaRPr>
        </a:p>
        <a:p>
          <a:pPr algn="l" rtl="0">
            <a:defRPr sz="1000"/>
          </a:pPr>
          <a:r>
            <a:rPr lang="en-US" sz="1000" b="1" i="0" u="none" strike="noStrike" baseline="0">
              <a:solidFill>
                <a:srgbClr val="000000"/>
              </a:solidFill>
              <a:latin typeface="MS Sans Serif"/>
            </a:rPr>
            <a:t> </a:t>
          </a:r>
        </a:p>
        <a:p>
          <a:pPr algn="l" rtl="0">
            <a:defRPr sz="1000"/>
          </a:pPr>
          <a:r>
            <a:rPr lang="en-US" sz="1000" b="1" i="0" u="none" strike="noStrike" baseline="0">
              <a:solidFill>
                <a:srgbClr val="000000"/>
              </a:solidFill>
              <a:latin typeface="MS Sans Serif"/>
            </a:rPr>
            <a:t>Constants Tab</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The Constants tab contains all physical and cost parameters for the piping components and system. Notes at the top of each column indicate data source. All fields may be edited.</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xdr:txBody>
    </xdr:sp>
    <xdr:clientData/>
  </xdr:twoCellAnchor>
  <xdr:twoCellAnchor editAs="oneCell">
    <xdr:from>
      <xdr:col>0</xdr:col>
      <xdr:colOff>19050</xdr:colOff>
      <xdr:row>0</xdr:row>
      <xdr:rowOff>38100</xdr:rowOff>
    </xdr:from>
    <xdr:to>
      <xdr:col>9</xdr:col>
      <xdr:colOff>600075</xdr:colOff>
      <xdr:row>8</xdr:row>
      <xdr:rowOff>95250</xdr:rowOff>
    </xdr:to>
    <xdr:pic>
      <xdr:nvPicPr>
        <xdr:cNvPr id="22590" name="Picture 1030" descr="main_block_2">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19050" y="38100"/>
          <a:ext cx="6067425" cy="1352550"/>
        </a:xfrm>
        <a:prstGeom prst="rect">
          <a:avLst/>
        </a:prstGeom>
        <a:noFill/>
        <a:ln w="9525">
          <a:noFill/>
          <a:miter lim="800000"/>
          <a:headEnd/>
          <a:tailEnd/>
        </a:ln>
      </xdr:spPr>
    </xdr:pic>
    <xdr:clientData/>
  </xdr:twoCellAnchor>
  <xdr:twoCellAnchor>
    <xdr:from>
      <xdr:col>0</xdr:col>
      <xdr:colOff>66675</xdr:colOff>
      <xdr:row>214</xdr:row>
      <xdr:rowOff>0</xdr:rowOff>
    </xdr:from>
    <xdr:to>
      <xdr:col>9</xdr:col>
      <xdr:colOff>590550</xdr:colOff>
      <xdr:row>223</xdr:row>
      <xdr:rowOff>85725</xdr:rowOff>
    </xdr:to>
    <xdr:sp macro="" textlink="">
      <xdr:nvSpPr>
        <xdr:cNvPr id="22535" name="Text Box 1031"/>
        <xdr:cNvSpPr txBox="1">
          <a:spLocks noChangeArrowheads="1"/>
        </xdr:cNvSpPr>
      </xdr:nvSpPr>
      <xdr:spPr bwMode="auto">
        <a:xfrm>
          <a:off x="66675" y="34918650"/>
          <a:ext cx="6010275" cy="1543050"/>
        </a:xfrm>
        <a:prstGeom prst="rect">
          <a:avLst/>
        </a:prstGeom>
        <a:solidFill>
          <a:srgbClr val="FFFFFF"/>
        </a:solidFill>
        <a:ln w="9525">
          <a:solidFill>
            <a:srgbClr val="000000"/>
          </a:solidFill>
          <a:miter lim="800000"/>
          <a:headEnd/>
          <a:tailEnd/>
        </a:ln>
      </xdr:spPr>
      <xdr:txBody>
        <a:bodyPr vertOverflow="clip" wrap="square" lIns="91440" tIns="137160" rIns="91440" bIns="137160" anchor="t" upright="1"/>
        <a:lstStyle/>
        <a:p>
          <a:pPr algn="l" rtl="0">
            <a:defRPr sz="1000"/>
          </a:pPr>
          <a:r>
            <a:rPr lang="en-US" sz="1000" b="1" i="0" u="none" strike="noStrike" baseline="0">
              <a:solidFill>
                <a:srgbClr val="000000"/>
              </a:solidFill>
              <a:latin typeface="MS Sans Serif"/>
            </a:rPr>
            <a:t>Additional Information</a:t>
          </a:r>
        </a:p>
        <a:p>
          <a:pPr algn="l" rtl="0">
            <a:defRPr sz="1000"/>
          </a:pPr>
          <a:endParaRPr lang="en-US" sz="1000" b="1"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If you have any questions or want to report a bug, please contact:</a:t>
          </a:r>
        </a:p>
        <a:p>
          <a:pPr algn="l" rtl="0">
            <a:defRPr sz="1000"/>
          </a:pPr>
          <a:endParaRPr lang="en-US" sz="800" b="0" i="0" u="none" strike="noStrike" baseline="0">
            <a:solidFill>
              <a:srgbClr val="000000"/>
            </a:solidFill>
            <a:latin typeface="MS Sans Serif"/>
          </a:endParaRPr>
        </a:p>
        <a:p>
          <a:pPr algn="l" rtl="0">
            <a:defRPr sz="1000"/>
          </a:pPr>
          <a:r>
            <a:rPr lang="en-US" sz="800" b="0" i="0" u="none" strike="noStrike" baseline="0">
              <a:solidFill>
                <a:srgbClr val="000000"/>
              </a:solidFill>
              <a:latin typeface="MS Sans Serif"/>
            </a:rPr>
            <a:t>Molly McGuire, Senior Mechanical Engineer</a:t>
          </a:r>
        </a:p>
        <a:p>
          <a:pPr algn="l" rtl="0">
            <a:defRPr sz="1000"/>
          </a:pPr>
          <a:r>
            <a:rPr lang="en-US" sz="800" b="0" i="0" u="none" strike="noStrike" baseline="0">
              <a:solidFill>
                <a:srgbClr val="000000"/>
              </a:solidFill>
              <a:latin typeface="MS Sans Serif"/>
            </a:rPr>
            <a:t>Taylor Engineering</a:t>
          </a:r>
        </a:p>
        <a:p>
          <a:pPr algn="l" rtl="0">
            <a:defRPr sz="1000"/>
          </a:pPr>
          <a:r>
            <a:rPr lang="en-US" sz="800" b="0" i="0" u="none" strike="noStrike" baseline="0">
              <a:solidFill>
                <a:srgbClr val="000000"/>
              </a:solidFill>
              <a:latin typeface="MS Sans Serif"/>
            </a:rPr>
            <a:t>510-749-9135</a:t>
          </a:r>
        </a:p>
        <a:p>
          <a:pPr algn="l" rtl="0">
            <a:defRPr sz="1000"/>
          </a:pPr>
          <a:r>
            <a:rPr lang="en-US" sz="800" b="0" i="0" u="none" strike="noStrike" baseline="0">
              <a:solidFill>
                <a:srgbClr val="000000"/>
              </a:solidFill>
              <a:latin typeface="MS Sans Serif"/>
            </a:rPr>
            <a:t>mmcguire@taylor-engineering.com</a:t>
          </a:r>
        </a:p>
        <a:p>
          <a:pPr algn="l" rtl="0">
            <a:defRPr sz="1000"/>
          </a:pP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xdr:txBody>
    </xdr:sp>
    <xdr:clientData/>
  </xdr:twoCellAnchor>
  <xdr:twoCellAnchor>
    <xdr:from>
      <xdr:col>0</xdr:col>
      <xdr:colOff>66675</xdr:colOff>
      <xdr:row>224</xdr:row>
      <xdr:rowOff>152400</xdr:rowOff>
    </xdr:from>
    <xdr:to>
      <xdr:col>9</xdr:col>
      <xdr:colOff>590550</xdr:colOff>
      <xdr:row>243</xdr:row>
      <xdr:rowOff>0</xdr:rowOff>
    </xdr:to>
    <xdr:sp macro="" textlink="">
      <xdr:nvSpPr>
        <xdr:cNvPr id="22536" name="Text Box 1032"/>
        <xdr:cNvSpPr txBox="1">
          <a:spLocks noChangeArrowheads="1"/>
        </xdr:cNvSpPr>
      </xdr:nvSpPr>
      <xdr:spPr bwMode="auto">
        <a:xfrm>
          <a:off x="66675" y="36690300"/>
          <a:ext cx="6010275" cy="2924175"/>
        </a:xfrm>
        <a:prstGeom prst="rect">
          <a:avLst/>
        </a:prstGeom>
        <a:solidFill>
          <a:srgbClr val="FFFFFF"/>
        </a:solidFill>
        <a:ln w="9525">
          <a:solidFill>
            <a:srgbClr val="000000"/>
          </a:solidFill>
          <a:miter lim="800000"/>
          <a:headEnd/>
          <a:tailEnd/>
        </a:ln>
      </xdr:spPr>
      <xdr:txBody>
        <a:bodyPr vertOverflow="clip" wrap="square" lIns="137160" tIns="137160" rIns="137160" bIns="137160" anchor="t" upright="1"/>
        <a:lstStyle/>
        <a:p>
          <a:pPr algn="l" rtl="0">
            <a:defRPr sz="1000"/>
          </a:pPr>
          <a:r>
            <a:rPr lang="en-US" sz="1000" b="1" i="0" u="none" strike="noStrike" baseline="0">
              <a:solidFill>
                <a:srgbClr val="000000"/>
              </a:solidFill>
              <a:latin typeface="MS Sans Serif"/>
            </a:rPr>
            <a:t>DISCLAIMER</a:t>
          </a:r>
        </a:p>
        <a:p>
          <a:pPr algn="l" rtl="0">
            <a:defRPr sz="1000"/>
          </a:pPr>
          <a:endParaRPr lang="en-US" sz="1000" b="0" i="0" u="none" strike="noStrike" baseline="0">
            <a:solidFill>
              <a:srgbClr val="000000"/>
            </a:solidFill>
            <a:latin typeface="MS Sans Serif"/>
          </a:endParaRPr>
        </a:p>
        <a:p>
          <a:pPr algn="l" rtl="0">
            <a:defRPr sz="1000"/>
          </a:pPr>
          <a:r>
            <a:rPr lang="en-US" sz="800" b="0" i="1" u="none" strike="noStrike" baseline="0">
              <a:solidFill>
                <a:srgbClr val="000000"/>
              </a:solidFill>
              <a:latin typeface="Courier New"/>
              <a:cs typeface="Courier New"/>
            </a:rPr>
            <a:t>This pipe sizing applet was prepared for Pacific Gas and Electric Company by Taylor Engineering and Architectural Energy Corporation and funded by California utility customers under the auspices of the California Public Utilities Commission. Neither Pacific Gas and Electric Company nor any of its employees and agents: </a:t>
          </a:r>
        </a:p>
        <a:p>
          <a:pPr algn="l" rtl="0">
            <a:defRPr sz="1000"/>
          </a:pPr>
          <a:endParaRPr lang="en-US" sz="800" b="0" i="1" u="none" strike="noStrike" baseline="0">
            <a:solidFill>
              <a:srgbClr val="000000"/>
            </a:solidFill>
            <a:latin typeface="Courier New"/>
            <a:cs typeface="Courier New"/>
          </a:endParaRPr>
        </a:p>
        <a:p>
          <a:pPr algn="l" rtl="0">
            <a:defRPr sz="1000"/>
          </a:pPr>
          <a:r>
            <a:rPr lang="en-US" sz="800" b="0" i="1" u="none" strike="noStrike" baseline="0">
              <a:solidFill>
                <a:srgbClr val="000000"/>
              </a:solidFill>
              <a:latin typeface="Courier New"/>
              <a:cs typeface="Courier New"/>
            </a:rPr>
            <a:t>1. Makes any written or oral warranty, expressed or implied, regarding this report, including, but not limited to those concerning merchantability or fitness for a particular purpose.</a:t>
          </a:r>
        </a:p>
        <a:p>
          <a:pPr algn="l" rtl="0">
            <a:defRPr sz="1000"/>
          </a:pPr>
          <a:endParaRPr lang="en-US" sz="800" b="0" i="1" u="none" strike="noStrike" baseline="0">
            <a:solidFill>
              <a:srgbClr val="000000"/>
            </a:solidFill>
            <a:latin typeface="Courier New"/>
            <a:cs typeface="Courier New"/>
          </a:endParaRPr>
        </a:p>
        <a:p>
          <a:pPr algn="l" rtl="0">
            <a:defRPr sz="1000"/>
          </a:pPr>
          <a:r>
            <a:rPr lang="en-US" sz="800" b="0" i="1" u="none" strike="noStrike" baseline="0">
              <a:solidFill>
                <a:srgbClr val="000000"/>
              </a:solidFill>
              <a:latin typeface="Courier New"/>
              <a:cs typeface="Courier New"/>
            </a:rPr>
            <a:t>2. Assumes any legal liability or responsibility for the accuracy, completeness, or usefulness of any information, apparatus, product, process, method, or policy contained herein.</a:t>
          </a:r>
        </a:p>
        <a:p>
          <a:pPr algn="l" rtl="0">
            <a:defRPr sz="1000"/>
          </a:pPr>
          <a:endParaRPr lang="en-US" sz="800" b="0" i="1" u="none" strike="noStrike" baseline="0">
            <a:solidFill>
              <a:srgbClr val="000000"/>
            </a:solidFill>
            <a:latin typeface="Courier New"/>
            <a:cs typeface="Courier New"/>
          </a:endParaRPr>
        </a:p>
        <a:p>
          <a:pPr algn="l" rtl="0">
            <a:defRPr sz="1000"/>
          </a:pPr>
          <a:r>
            <a:rPr lang="en-US" sz="800" b="0" i="1" u="none" strike="noStrike" baseline="0">
              <a:solidFill>
                <a:srgbClr val="000000"/>
              </a:solidFill>
              <a:latin typeface="Courier New"/>
              <a:cs typeface="Courier New"/>
            </a:rPr>
            <a:t>3. Represents that use of the report would not infringe any privately owned rights,including, but not limited to, patents, trademarks or copyrights.</a:t>
          </a:r>
        </a:p>
        <a:p>
          <a:pPr algn="l" rtl="0">
            <a:defRPr sz="1000"/>
          </a:pPr>
          <a:endParaRPr lang="en-US" sz="1000" b="0" i="1" u="none" strike="noStrike" baseline="0">
            <a:solidFill>
              <a:srgbClr val="000000"/>
            </a:solidFill>
            <a:latin typeface="Courier New"/>
            <a:cs typeface="Courier New"/>
          </a:endParaRPr>
        </a:p>
        <a:p>
          <a:pPr algn="l" rtl="0">
            <a:defRPr sz="1000"/>
          </a:pPr>
          <a:endParaRPr lang="en-US" sz="1000" b="0" i="1" u="none" strike="noStrike" baseline="0">
            <a:solidFill>
              <a:srgbClr val="000000"/>
            </a:solidFill>
            <a:latin typeface="Courier New"/>
            <a:cs typeface="Courier New"/>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xdr:colOff>
      <xdr:row>154</xdr:row>
      <xdr:rowOff>142875</xdr:rowOff>
    </xdr:from>
    <xdr:to>
      <xdr:col>17</xdr:col>
      <xdr:colOff>152400</xdr:colOff>
      <xdr:row>172</xdr:row>
      <xdr:rowOff>0</xdr:rowOff>
    </xdr:to>
    <xdr:graphicFrame macro="">
      <xdr:nvGraphicFramePr>
        <xdr:cNvPr id="2445" name="Chart 3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266700</xdr:colOff>
      <xdr:row>174</xdr:row>
      <xdr:rowOff>0</xdr:rowOff>
    </xdr:from>
    <xdr:to>
      <xdr:col>17</xdr:col>
      <xdr:colOff>0</xdr:colOff>
      <xdr:row>195</xdr:row>
      <xdr:rowOff>38100</xdr:rowOff>
    </xdr:to>
    <xdr:graphicFrame macro="">
      <xdr:nvGraphicFramePr>
        <xdr:cNvPr id="2446" name="Chart 3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381000</xdr:colOff>
      <xdr:row>197</xdr:row>
      <xdr:rowOff>0</xdr:rowOff>
    </xdr:from>
    <xdr:to>
      <xdr:col>17</xdr:col>
      <xdr:colOff>180975</xdr:colOff>
      <xdr:row>216</xdr:row>
      <xdr:rowOff>142875</xdr:rowOff>
    </xdr:to>
    <xdr:graphicFrame macro="">
      <xdr:nvGraphicFramePr>
        <xdr:cNvPr id="2447" name="Chart 3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47625</xdr:colOff>
      <xdr:row>154</xdr:row>
      <xdr:rowOff>142875</xdr:rowOff>
    </xdr:from>
    <xdr:to>
      <xdr:col>22</xdr:col>
      <xdr:colOff>695325</xdr:colOff>
      <xdr:row>171</xdr:row>
      <xdr:rowOff>38100</xdr:rowOff>
    </xdr:to>
    <xdr:graphicFrame macro="">
      <xdr:nvGraphicFramePr>
        <xdr:cNvPr id="2448" name="Chart 3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171450</xdr:colOff>
      <xdr:row>125</xdr:row>
      <xdr:rowOff>0</xdr:rowOff>
    </xdr:from>
    <xdr:to>
      <xdr:col>22</xdr:col>
      <xdr:colOff>276225</xdr:colOff>
      <xdr:row>145</xdr:row>
      <xdr:rowOff>85725</xdr:rowOff>
    </xdr:to>
    <xdr:graphicFrame macro="">
      <xdr:nvGraphicFramePr>
        <xdr:cNvPr id="2449" name="Chart 3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571500</xdr:colOff>
      <xdr:row>125</xdr:row>
      <xdr:rowOff>38100</xdr:rowOff>
    </xdr:from>
    <xdr:to>
      <xdr:col>29</xdr:col>
      <xdr:colOff>200025</xdr:colOff>
      <xdr:row>144</xdr:row>
      <xdr:rowOff>28575</xdr:rowOff>
    </xdr:to>
    <xdr:graphicFrame macro="">
      <xdr:nvGraphicFramePr>
        <xdr:cNvPr id="2450" name="Chart 3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47625</xdr:colOff>
      <xdr:row>174</xdr:row>
      <xdr:rowOff>104775</xdr:rowOff>
    </xdr:from>
    <xdr:to>
      <xdr:col>22</xdr:col>
      <xdr:colOff>428625</xdr:colOff>
      <xdr:row>190</xdr:row>
      <xdr:rowOff>66675</xdr:rowOff>
    </xdr:to>
    <xdr:graphicFrame macro="">
      <xdr:nvGraphicFramePr>
        <xdr:cNvPr id="2451" name="Chart 3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codeName="Sheet6"/>
  <dimension ref="A10:A245"/>
  <sheetViews>
    <sheetView showGridLines="0" tabSelected="1" zoomScale="115" workbookViewId="0"/>
  </sheetViews>
  <sheetFormatPr defaultRowHeight="12.75"/>
  <cols>
    <col min="1" max="16384" width="9.140625" style="347"/>
  </cols>
  <sheetData>
    <row r="10" spans="1:1" ht="23.25">
      <c r="A10" s="346" t="s">
        <v>245</v>
      </c>
    </row>
    <row r="11" spans="1:1" ht="23.25">
      <c r="A11" s="346" t="s">
        <v>306</v>
      </c>
    </row>
    <row r="245" spans="1:1">
      <c r="A245" s="407"/>
    </row>
  </sheetData>
  <sheetProtection sheet="1" objects="1" scenarios="1" selectLockedCells="1" selectUnlockedCells="1"/>
  <phoneticPr fontId="16"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1"/>
  <dimension ref="B1:AE35"/>
  <sheetViews>
    <sheetView showGridLines="0" workbookViewId="0">
      <selection activeCell="D3" sqref="D3:F3"/>
    </sheetView>
  </sheetViews>
  <sheetFormatPr defaultRowHeight="12.75"/>
  <cols>
    <col min="3" max="3" width="41.5703125" customWidth="1"/>
    <col min="4" max="4" width="14.85546875" customWidth="1"/>
    <col min="9" max="14" width="9.140625" hidden="1" customWidth="1"/>
  </cols>
  <sheetData>
    <row r="1" spans="2:31" ht="13.5" thickBot="1"/>
    <row r="2" spans="2:31">
      <c r="B2" s="44"/>
      <c r="C2" s="237"/>
      <c r="D2" s="237"/>
      <c r="E2" s="237"/>
      <c r="F2" s="237"/>
      <c r="G2" s="237"/>
      <c r="H2" s="237"/>
      <c r="I2" s="237"/>
      <c r="J2" s="237"/>
      <c r="K2" s="237"/>
      <c r="L2" s="237"/>
      <c r="M2" s="237"/>
      <c r="N2" s="237"/>
      <c r="O2" s="45"/>
    </row>
    <row r="3" spans="2:31">
      <c r="B3" s="287"/>
      <c r="C3" s="487" t="s">
        <v>133</v>
      </c>
      <c r="D3" s="491" t="s">
        <v>277</v>
      </c>
      <c r="E3" s="491"/>
      <c r="F3" s="491"/>
      <c r="G3" s="13"/>
      <c r="H3" s="13"/>
      <c r="I3" s="13"/>
      <c r="J3" s="13"/>
      <c r="K3" s="13"/>
      <c r="L3" s="13"/>
      <c r="M3" s="13"/>
      <c r="N3" s="13"/>
      <c r="O3" s="247"/>
    </row>
    <row r="4" spans="2:31">
      <c r="B4" s="287"/>
      <c r="C4" s="487" t="s">
        <v>134</v>
      </c>
      <c r="D4" s="491" t="s">
        <v>187</v>
      </c>
      <c r="E4" s="491"/>
      <c r="F4" s="491"/>
      <c r="G4" s="13"/>
      <c r="H4" s="13"/>
      <c r="I4" s="13"/>
      <c r="J4" s="13"/>
      <c r="K4" s="13"/>
      <c r="L4" s="13"/>
      <c r="M4" s="13"/>
      <c r="N4" s="13"/>
      <c r="O4" s="247"/>
    </row>
    <row r="5" spans="2:31">
      <c r="B5" s="287"/>
      <c r="C5" s="13"/>
      <c r="D5" s="13"/>
      <c r="E5" s="13"/>
      <c r="F5" s="13"/>
      <c r="G5" s="13"/>
      <c r="H5" s="13"/>
      <c r="I5" s="13"/>
      <c r="J5" s="13"/>
      <c r="K5" s="13"/>
      <c r="L5" s="13"/>
      <c r="M5" s="13"/>
      <c r="N5" s="13"/>
      <c r="O5" s="247"/>
    </row>
    <row r="6" spans="2:31">
      <c r="B6" s="287"/>
      <c r="C6" s="487" t="s">
        <v>237</v>
      </c>
      <c r="D6" s="13"/>
      <c r="E6" s="13"/>
      <c r="F6" s="80"/>
      <c r="G6" s="80"/>
      <c r="H6" s="80"/>
      <c r="I6" s="80"/>
      <c r="J6" s="80"/>
      <c r="K6" s="80"/>
      <c r="L6" s="80"/>
      <c r="M6" s="80"/>
      <c r="N6" s="80"/>
      <c r="O6" s="329"/>
      <c r="P6" s="67"/>
      <c r="Q6" s="67"/>
      <c r="R6" s="67"/>
      <c r="S6" s="67"/>
      <c r="T6" s="67"/>
      <c r="U6" s="67"/>
      <c r="V6" s="67"/>
      <c r="W6" s="67"/>
      <c r="X6" s="67"/>
      <c r="Y6" s="67"/>
      <c r="Z6" s="67"/>
      <c r="AA6" s="67"/>
    </row>
    <row r="7" spans="2:31">
      <c r="B7" s="287"/>
      <c r="C7" s="129" t="s">
        <v>186</v>
      </c>
      <c r="D7" s="232" t="s">
        <v>187</v>
      </c>
      <c r="E7" s="13"/>
      <c r="F7" s="13"/>
      <c r="G7" s="13"/>
      <c r="H7" s="13"/>
      <c r="I7" s="13" t="s">
        <v>187</v>
      </c>
      <c r="J7" s="13" t="s">
        <v>188</v>
      </c>
      <c r="K7" s="13" t="s">
        <v>189</v>
      </c>
      <c r="L7" s="13"/>
      <c r="M7" s="13"/>
      <c r="N7" s="13"/>
      <c r="O7" s="247"/>
    </row>
    <row r="8" spans="2:31">
      <c r="B8" s="287"/>
      <c r="C8" s="231" t="s">
        <v>225</v>
      </c>
      <c r="D8" s="227">
        <f>IF(D7=I7,VLOOKUP(I7,Constants!B153:C155,2,0),IF(D7=J7,VLOOKUP(J7,Constants!B153:C155,2,0),IF(D7=K7,VLOOKUP(K7,Constants!B153:C155,2,0),"ERROR")))</f>
        <v>50</v>
      </c>
      <c r="E8" s="13" t="s">
        <v>155</v>
      </c>
      <c r="F8" s="13"/>
      <c r="G8" s="13"/>
      <c r="H8" s="13"/>
      <c r="I8" s="13"/>
      <c r="J8" s="13"/>
      <c r="K8" s="13"/>
      <c r="L8" s="13"/>
      <c r="M8" s="13"/>
      <c r="N8" s="13"/>
      <c r="O8" s="247"/>
    </row>
    <row r="9" spans="2:31">
      <c r="B9" s="287"/>
      <c r="C9" s="80" t="s">
        <v>184</v>
      </c>
      <c r="D9" s="232" t="s">
        <v>195</v>
      </c>
      <c r="E9" s="13"/>
      <c r="F9" s="80"/>
      <c r="G9" s="13"/>
      <c r="H9" s="13"/>
      <c r="I9" s="13" t="s">
        <v>193</v>
      </c>
      <c r="J9" s="13" t="s">
        <v>194</v>
      </c>
      <c r="K9" s="13" t="s">
        <v>195</v>
      </c>
      <c r="L9" s="13" t="s">
        <v>196</v>
      </c>
      <c r="M9" s="13"/>
      <c r="N9" s="13"/>
      <c r="O9" s="247"/>
    </row>
    <row r="10" spans="2:31" hidden="1">
      <c r="B10" s="287"/>
      <c r="C10" s="231" t="s">
        <v>221</v>
      </c>
      <c r="D10" s="227">
        <f>HLOOKUP(CONST_VAR_UI,Constants!B158:E159,2,0)</f>
        <v>0.3</v>
      </c>
      <c r="E10" s="13"/>
      <c r="F10" s="80"/>
      <c r="G10" s="13"/>
      <c r="H10" s="13"/>
      <c r="I10" s="13"/>
      <c r="J10" s="13"/>
      <c r="K10" s="13"/>
      <c r="L10" s="13"/>
      <c r="M10" s="13"/>
      <c r="N10" s="13"/>
      <c r="O10" s="247"/>
    </row>
    <row r="11" spans="2:31">
      <c r="B11" s="287"/>
      <c r="C11" s="80" t="s">
        <v>126</v>
      </c>
      <c r="D11" s="232">
        <v>2000</v>
      </c>
      <c r="E11" s="13" t="s">
        <v>132</v>
      </c>
      <c r="F11" s="13"/>
      <c r="G11" s="13"/>
      <c r="H11" s="13"/>
      <c r="I11" s="13"/>
      <c r="J11" s="13"/>
      <c r="K11" s="13"/>
      <c r="L11" s="13"/>
      <c r="M11" s="13"/>
      <c r="N11" s="13"/>
      <c r="O11" s="247"/>
    </row>
    <row r="12" spans="2:31">
      <c r="B12" s="287"/>
      <c r="C12" s="13" t="s">
        <v>243</v>
      </c>
      <c r="D12" s="232" t="s">
        <v>142</v>
      </c>
      <c r="E12" s="146" t="s">
        <v>228</v>
      </c>
      <c r="F12" s="13"/>
      <c r="G12" s="13"/>
      <c r="H12" s="13"/>
      <c r="I12" s="484" t="s">
        <v>142</v>
      </c>
      <c r="J12" s="484">
        <v>0.5</v>
      </c>
      <c r="K12" s="484">
        <v>1</v>
      </c>
      <c r="L12" s="484">
        <v>1.5</v>
      </c>
      <c r="M12" s="484">
        <v>2</v>
      </c>
      <c r="N12" s="484" t="s">
        <v>127</v>
      </c>
      <c r="O12" s="485"/>
      <c r="P12" s="79"/>
      <c r="Q12" s="79"/>
      <c r="R12" s="79"/>
      <c r="S12" s="79"/>
      <c r="T12" s="79"/>
      <c r="U12" s="79"/>
      <c r="V12" s="79"/>
      <c r="W12" s="79"/>
      <c r="X12" s="79"/>
      <c r="Y12" s="79"/>
      <c r="Z12" s="79"/>
      <c r="AA12" s="79"/>
      <c r="AB12" s="79"/>
      <c r="AC12" s="79"/>
    </row>
    <row r="13" spans="2:31">
      <c r="B13" s="287"/>
      <c r="C13" s="80" t="s">
        <v>159</v>
      </c>
      <c r="D13" s="232" t="s">
        <v>119</v>
      </c>
      <c r="E13" s="146" t="s">
        <v>228</v>
      </c>
      <c r="F13" s="13"/>
      <c r="G13" s="13"/>
      <c r="H13" s="13"/>
      <c r="I13" s="13" t="s">
        <v>119</v>
      </c>
      <c r="J13" s="13" t="s">
        <v>120</v>
      </c>
      <c r="K13" s="13"/>
      <c r="L13" s="13"/>
      <c r="M13" s="13"/>
      <c r="N13" s="13"/>
      <c r="O13" s="247"/>
      <c r="AB13" s="67"/>
      <c r="AC13" s="67"/>
      <c r="AD13" s="67"/>
      <c r="AE13" s="67"/>
    </row>
    <row r="14" spans="2:31">
      <c r="B14" s="287"/>
      <c r="C14" s="80" t="s">
        <v>160</v>
      </c>
      <c r="D14" s="232" t="s">
        <v>119</v>
      </c>
      <c r="E14" s="146" t="s">
        <v>228</v>
      </c>
      <c r="F14" s="13"/>
      <c r="G14" s="13"/>
      <c r="H14" s="13"/>
      <c r="I14" s="13" t="s">
        <v>119</v>
      </c>
      <c r="J14" s="13" t="s">
        <v>120</v>
      </c>
      <c r="K14" s="13"/>
      <c r="L14" s="13"/>
      <c r="M14" s="13"/>
      <c r="N14" s="13"/>
      <c r="O14" s="247"/>
      <c r="AB14" s="67"/>
      <c r="AC14" s="67"/>
      <c r="AD14" s="67"/>
      <c r="AE14" s="67"/>
    </row>
    <row r="15" spans="2:31">
      <c r="B15" s="287"/>
      <c r="C15" s="80" t="s">
        <v>255</v>
      </c>
      <c r="D15" s="232">
        <v>5</v>
      </c>
      <c r="E15" s="146" t="s">
        <v>256</v>
      </c>
      <c r="F15" s="13"/>
      <c r="G15" s="13"/>
      <c r="H15" s="13"/>
      <c r="I15" s="13"/>
      <c r="J15" s="13"/>
      <c r="K15" s="13"/>
      <c r="L15" s="13"/>
      <c r="M15" s="13"/>
      <c r="N15" s="13"/>
      <c r="O15" s="247"/>
    </row>
    <row r="16" spans="2:31">
      <c r="B16" s="287"/>
      <c r="C16" s="128" t="s">
        <v>257</v>
      </c>
      <c r="D16" s="232">
        <v>5</v>
      </c>
      <c r="E16" s="364" t="s">
        <v>258</v>
      </c>
      <c r="F16" s="13"/>
      <c r="G16" s="13"/>
      <c r="H16" s="13"/>
      <c r="I16" s="13"/>
      <c r="J16" s="13"/>
      <c r="K16" s="13"/>
      <c r="L16" s="13"/>
      <c r="M16" s="13"/>
      <c r="N16" s="13"/>
      <c r="O16" s="247"/>
    </row>
    <row r="17" spans="2:15" ht="13.5" thickBot="1">
      <c r="B17" s="486"/>
      <c r="C17" s="248"/>
      <c r="D17" s="248"/>
      <c r="E17" s="248"/>
      <c r="F17" s="248"/>
      <c r="G17" s="248"/>
      <c r="H17" s="248"/>
      <c r="I17" s="248"/>
      <c r="J17" s="248"/>
      <c r="K17" s="248"/>
      <c r="L17" s="248"/>
      <c r="M17" s="248"/>
      <c r="N17" s="248"/>
      <c r="O17" s="65"/>
    </row>
    <row r="33" spans="3:4">
      <c r="C33" s="95"/>
      <c r="D33" s="13"/>
    </row>
    <row r="34" spans="3:4">
      <c r="C34" s="95"/>
      <c r="D34" s="13"/>
    </row>
    <row r="35" spans="3:4">
      <c r="C35" s="95"/>
      <c r="D35" s="13"/>
    </row>
  </sheetData>
  <sheetProtection sheet="1" objects="1" scenarios="1"/>
  <mergeCells count="2">
    <mergeCell ref="D3:F3"/>
    <mergeCell ref="D4:F4"/>
  </mergeCells>
  <phoneticPr fontId="11" type="noConversion"/>
  <dataValidations count="5">
    <dataValidation type="list" allowBlank="1" showInputMessage="1" showErrorMessage="1" sqref="D7">
      <formula1>I$7:K$7</formula1>
    </dataValidation>
    <dataValidation type="list" allowBlank="1" showInputMessage="1" showErrorMessage="1" sqref="D14">
      <formula1>$I$14:$J$14</formula1>
    </dataValidation>
    <dataValidation type="list" allowBlank="1" showInputMessage="1" showErrorMessage="1" sqref="D13">
      <formula1>$I$13:$J$13</formula1>
    </dataValidation>
    <dataValidation type="list" allowBlank="1" showInputMessage="1" showErrorMessage="1" sqref="D12">
      <formula1>$I$12:$N$12</formula1>
    </dataValidation>
    <dataValidation type="list" allowBlank="1" showInputMessage="1" showErrorMessage="1" sqref="D9">
      <formula1>$I$9:$L$9</formula1>
    </dataValidation>
  </dataValidations>
  <pageMargins left="0.75" right="0.75" top="1" bottom="1" header="0.5" footer="0.5"/>
  <pageSetup orientation="portrait" horizont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3"/>
  <dimension ref="B1:AA34"/>
  <sheetViews>
    <sheetView showGridLines="0" workbookViewId="0">
      <selection activeCell="D6" sqref="D6"/>
    </sheetView>
  </sheetViews>
  <sheetFormatPr defaultRowHeight="12.75"/>
  <cols>
    <col min="2" max="2" width="4.7109375" customWidth="1"/>
    <col min="3" max="3" width="36.28515625" bestFit="1" customWidth="1"/>
    <col min="4" max="4" width="16.140625" customWidth="1"/>
    <col min="9" max="9" width="0" hidden="1" customWidth="1"/>
  </cols>
  <sheetData>
    <row r="1" spans="2:27" ht="13.5" thickBot="1"/>
    <row r="2" spans="2:27">
      <c r="B2" s="44"/>
      <c r="C2" s="237"/>
      <c r="D2" s="237"/>
      <c r="E2" s="45"/>
    </row>
    <row r="3" spans="2:27">
      <c r="B3" s="287"/>
      <c r="C3" s="98" t="s">
        <v>229</v>
      </c>
      <c r="D3" s="107"/>
      <c r="E3" s="247"/>
      <c r="F3" s="67"/>
      <c r="G3" s="67"/>
      <c r="H3" s="67"/>
      <c r="I3" s="67"/>
      <c r="J3" s="67"/>
      <c r="K3" s="67"/>
      <c r="L3" s="67"/>
      <c r="M3" s="67"/>
      <c r="N3" s="67"/>
      <c r="O3" s="67"/>
      <c r="P3" s="67"/>
      <c r="Q3" s="67"/>
      <c r="R3" s="67"/>
      <c r="S3" s="67"/>
      <c r="T3" s="67"/>
      <c r="U3" s="67"/>
      <c r="V3" s="67"/>
      <c r="W3" s="67"/>
      <c r="X3" s="67"/>
      <c r="Y3" s="67"/>
      <c r="Z3" s="67"/>
      <c r="AA3" s="67"/>
    </row>
    <row r="4" spans="2:27">
      <c r="B4" s="287"/>
      <c r="C4" s="98"/>
      <c r="D4" s="107"/>
      <c r="E4" s="247"/>
    </row>
    <row r="5" spans="2:27">
      <c r="B5" s="287"/>
      <c r="C5" s="96" t="s">
        <v>55</v>
      </c>
      <c r="D5" s="108"/>
      <c r="E5" s="488"/>
    </row>
    <row r="6" spans="2:27">
      <c r="B6" s="287"/>
      <c r="C6" s="99" t="s">
        <v>56</v>
      </c>
      <c r="D6" s="233" t="s">
        <v>57</v>
      </c>
      <c r="E6" s="247"/>
      <c r="F6" s="67"/>
      <c r="G6" s="67"/>
      <c r="H6" s="67"/>
    </row>
    <row r="7" spans="2:27">
      <c r="B7" s="287"/>
      <c r="C7" s="100" t="s">
        <v>54</v>
      </c>
      <c r="D7" s="261">
        <f>VLOOKUP($D$6,Constants!$B$167:$D$175,2,0)</f>
        <v>110.2</v>
      </c>
      <c r="E7" s="247"/>
    </row>
    <row r="8" spans="2:27">
      <c r="B8" s="287"/>
      <c r="C8" s="100" t="s">
        <v>53</v>
      </c>
      <c r="D8" s="261">
        <f>VLOOKUP($D$6,Constants!$B$167:$D$175,3,0)</f>
        <v>127.3</v>
      </c>
      <c r="E8" s="247"/>
    </row>
    <row r="9" spans="2:27">
      <c r="B9" s="287"/>
      <c r="C9" s="382" t="s">
        <v>272</v>
      </c>
      <c r="D9" s="381"/>
      <c r="E9" s="247"/>
    </row>
    <row r="10" spans="2:27">
      <c r="B10" s="287"/>
      <c r="C10" s="100" t="s">
        <v>274</v>
      </c>
      <c r="D10" s="380">
        <v>0.25</v>
      </c>
      <c r="E10" s="247"/>
    </row>
    <row r="11" spans="2:27">
      <c r="B11" s="287"/>
      <c r="C11" s="100" t="s">
        <v>275</v>
      </c>
      <c r="D11" s="380">
        <v>0.03</v>
      </c>
      <c r="E11" s="247"/>
    </row>
    <row r="12" spans="2:27">
      <c r="B12" s="287"/>
      <c r="C12" s="382" t="s">
        <v>280</v>
      </c>
      <c r="D12" s="408">
        <v>2011</v>
      </c>
      <c r="E12" s="247"/>
    </row>
    <row r="13" spans="2:27">
      <c r="B13" s="287"/>
      <c r="C13" s="382" t="s">
        <v>296</v>
      </c>
      <c r="D13" s="408">
        <v>2008</v>
      </c>
      <c r="E13" s="247"/>
    </row>
    <row r="14" spans="2:27">
      <c r="B14" s="287"/>
      <c r="C14" s="382" t="s">
        <v>281</v>
      </c>
      <c r="D14" s="234">
        <v>9.5000000000000001E-2</v>
      </c>
      <c r="E14" s="247"/>
    </row>
    <row r="15" spans="2:27">
      <c r="B15" s="287"/>
      <c r="C15" s="382" t="s">
        <v>273</v>
      </c>
      <c r="D15" s="380">
        <v>0.08</v>
      </c>
      <c r="E15" s="247"/>
    </row>
    <row r="16" spans="2:27">
      <c r="B16" s="287"/>
      <c r="C16" s="95" t="s">
        <v>61</v>
      </c>
      <c r="D16" s="233">
        <v>0.15</v>
      </c>
      <c r="E16" s="489" t="s">
        <v>62</v>
      </c>
    </row>
    <row r="17" spans="2:9">
      <c r="B17" s="287"/>
      <c r="C17" s="95" t="s">
        <v>203</v>
      </c>
      <c r="D17" s="233">
        <v>1</v>
      </c>
      <c r="E17" s="489" t="s">
        <v>183</v>
      </c>
    </row>
    <row r="18" spans="2:9">
      <c r="B18" s="287"/>
      <c r="C18" s="95" t="s">
        <v>63</v>
      </c>
      <c r="D18" s="234">
        <v>0</v>
      </c>
      <c r="E18" s="247"/>
    </row>
    <row r="19" spans="2:9">
      <c r="B19" s="287"/>
      <c r="C19" s="95" t="s">
        <v>131</v>
      </c>
      <c r="D19" s="234">
        <v>0.01</v>
      </c>
      <c r="E19" s="247"/>
    </row>
    <row r="20" spans="2:9">
      <c r="B20" s="287"/>
      <c r="C20" s="95" t="s">
        <v>266</v>
      </c>
      <c r="D20" s="234">
        <v>0.05</v>
      </c>
      <c r="E20" s="247"/>
    </row>
    <row r="21" spans="2:9">
      <c r="B21" s="287"/>
      <c r="C21" s="97" t="s">
        <v>251</v>
      </c>
      <c r="D21" s="226">
        <v>30</v>
      </c>
      <c r="E21" s="247" t="s">
        <v>130</v>
      </c>
    </row>
    <row r="22" spans="2:9" ht="13.5" thickBot="1">
      <c r="B22" s="486"/>
      <c r="C22" s="248"/>
      <c r="D22" s="248"/>
      <c r="E22" s="65"/>
      <c r="F22" s="67"/>
      <c r="G22" s="67"/>
      <c r="H22" s="67"/>
    </row>
    <row r="24" spans="2:9">
      <c r="C24" s="95"/>
      <c r="D24" s="13"/>
    </row>
    <row r="26" spans="2:9">
      <c r="I26" t="str">
        <f>IF(Constants!C167=0,"",Constants!B167)</f>
        <v>Oakland, CA</v>
      </c>
    </row>
    <row r="27" spans="2:9">
      <c r="I27" t="str">
        <f>IF(Constants!C168=0,"",Constants!B168)</f>
        <v>Los Angeles, CA</v>
      </c>
    </row>
    <row r="28" spans="2:9">
      <c r="I28" t="str">
        <f>IF(Constants!C169=0,"",Constants!B169)</f>
        <v>Fresno, CA</v>
      </c>
    </row>
    <row r="29" spans="2:9">
      <c r="I29" t="str">
        <f>IF(Constants!C170=0,"",Constants!B170)</f>
        <v>San Francisco, CA</v>
      </c>
    </row>
    <row r="30" spans="2:9">
      <c r="I30" t="str">
        <f>IF(Constants!C171=0,"",Constants!B171)</f>
        <v>San Jose, CA</v>
      </c>
    </row>
    <row r="31" spans="2:9">
      <c r="I31" t="str">
        <f>IF(Constants!C172=0,"",Constants!B172)</f>
        <v>Riverside, CA</v>
      </c>
    </row>
    <row r="32" spans="2:9">
      <c r="I32" t="str">
        <f>IF(Constants!C173=0,"",Constants!B173)</f>
        <v>Sacramento, CA</v>
      </c>
    </row>
    <row r="33" spans="9:9">
      <c r="I33" t="str">
        <f>IF(Constants!C174=0,"",Constants!B174)</f>
        <v>Average National</v>
      </c>
    </row>
    <row r="34" spans="9:9">
      <c r="I34" t="str">
        <f>IF(Constants!C175=0,"",Constants!B175)</f>
        <v/>
      </c>
    </row>
  </sheetData>
  <sheetProtection sheet="1" objects="1" scenarios="1"/>
  <phoneticPr fontId="11" type="noConversion"/>
  <dataValidations count="3">
    <dataValidation type="whole" operator="lessThanOrEqual" allowBlank="1" showInputMessage="1" showErrorMessage="1" sqref="D21">
      <formula1>40</formula1>
    </dataValidation>
    <dataValidation type="date" operator="greaterThanOrEqual" allowBlank="1" showInputMessage="1" showErrorMessage="1" sqref="D12">
      <formula1>D13</formula1>
    </dataValidation>
    <dataValidation type="list" allowBlank="1" showInputMessage="1" showErrorMessage="1" sqref="D6">
      <formula1>$I$26:$I$34</formula1>
    </dataValidation>
  </dataValidations>
  <pageMargins left="0.75" right="0.75" top="1" bottom="1" header="0.5" footer="0.5"/>
  <pageSetup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14">
    <pageSetUpPr fitToPage="1"/>
  </sheetPr>
  <dimension ref="A1:IT428"/>
  <sheetViews>
    <sheetView showGridLines="0" workbookViewId="0"/>
  </sheetViews>
  <sheetFormatPr defaultColWidth="8.85546875" defaultRowHeight="12.75"/>
  <cols>
    <col min="1" max="1" width="25.42578125" style="75" customWidth="1"/>
    <col min="2" max="2" width="10" style="75" customWidth="1"/>
    <col min="3" max="3" width="0" style="75" hidden="1" customWidth="1"/>
    <col min="4" max="4" width="6.7109375" style="75" customWidth="1"/>
    <col min="5" max="5" width="8.5703125" style="74" hidden="1" customWidth="1"/>
    <col min="6" max="6" width="7.7109375" style="75" customWidth="1"/>
    <col min="7" max="7" width="9.42578125" style="75" hidden="1" customWidth="1"/>
    <col min="8" max="8" width="6.42578125" style="121" customWidth="1"/>
    <col min="9" max="9" width="8.28515625" style="121" hidden="1" customWidth="1"/>
    <col min="10" max="10" width="7.7109375" style="75" hidden="1" customWidth="1"/>
    <col min="11" max="11" width="5" style="93" customWidth="1"/>
    <col min="12" max="12" width="6.28515625" style="74" customWidth="1"/>
    <col min="13" max="15" width="6.7109375" style="75" hidden="1" customWidth="1"/>
    <col min="16" max="16" width="9.140625" style="75" hidden="1" customWidth="1"/>
    <col min="17" max="17" width="4.85546875" style="75" customWidth="1"/>
    <col min="18" max="18" width="5.7109375" style="75" customWidth="1"/>
    <col min="19" max="19" width="8.7109375" style="74" hidden="1" customWidth="1"/>
    <col min="20" max="20" width="7.85546875" style="74" hidden="1" customWidth="1"/>
    <col min="21" max="22" width="6.28515625" style="74" hidden="1" customWidth="1"/>
    <col min="23" max="24" width="12.28515625" style="74" hidden="1" customWidth="1"/>
    <col min="25" max="25" width="10.42578125" style="74" hidden="1" customWidth="1"/>
    <col min="26" max="26" width="6.28515625" style="74" hidden="1" customWidth="1"/>
    <col min="27" max="27" width="10.7109375" style="74" hidden="1" customWidth="1"/>
    <col min="28" max="31" width="6.28515625" style="74" hidden="1" customWidth="1"/>
    <col min="32" max="32" width="10.28515625" style="74" hidden="1" customWidth="1"/>
    <col min="33" max="33" width="9.28515625" style="93" customWidth="1"/>
    <col min="34" max="34" width="9.85546875" style="93" customWidth="1"/>
    <col min="35" max="35" width="7.42578125" style="75" customWidth="1"/>
    <col min="36" max="37" width="4.28515625" style="75" customWidth="1"/>
    <col min="38" max="38" width="4.7109375" style="75" customWidth="1"/>
    <col min="39" max="39" width="4.140625" style="75" customWidth="1"/>
    <col min="40" max="40" width="5.7109375" style="75" bestFit="1" customWidth="1"/>
    <col min="41" max="41" width="5.42578125" style="75" hidden="1" customWidth="1"/>
    <col min="42" max="42" width="7.140625" style="75" hidden="1" customWidth="1"/>
    <col min="43" max="43" width="5.7109375" style="75" bestFit="1" customWidth="1"/>
    <col min="44" max="44" width="5.42578125" style="75" hidden="1" customWidth="1"/>
    <col min="45" max="45" width="5.7109375" style="75" hidden="1" customWidth="1"/>
    <col min="46" max="46" width="5.7109375" style="75" customWidth="1"/>
    <col min="47" max="47" width="5.42578125" style="75" hidden="1" customWidth="1"/>
    <col min="48" max="48" width="6.85546875" style="75" hidden="1" customWidth="1"/>
    <col min="49" max="49" width="5.28515625" style="75" customWidth="1"/>
    <col min="50" max="50" width="5.7109375" style="75" hidden="1" customWidth="1"/>
    <col min="51" max="51" width="5.42578125" style="75" hidden="1" customWidth="1"/>
    <col min="52" max="52" width="6" style="75" hidden="1" customWidth="1"/>
    <col min="53" max="53" width="5.7109375" style="75" bestFit="1" customWidth="1"/>
    <col min="54" max="54" width="5.42578125" style="75" hidden="1" customWidth="1"/>
    <col min="55" max="55" width="6.42578125" style="75" hidden="1" customWidth="1"/>
    <col min="56" max="56" width="5.7109375" style="75" bestFit="1" customWidth="1"/>
    <col min="57" max="57" width="5.42578125" style="75" hidden="1" customWidth="1"/>
    <col min="58" max="58" width="5.7109375" style="75" hidden="1" customWidth="1"/>
    <col min="59" max="59" width="5.7109375" style="75" customWidth="1"/>
    <col min="60" max="60" width="5.42578125" style="75" hidden="1" customWidth="1"/>
    <col min="61" max="61" width="7" style="75" hidden="1" customWidth="1"/>
    <col min="62" max="62" width="6.85546875" style="75" customWidth="1"/>
    <col min="63" max="63" width="7.42578125" style="75" hidden="1" customWidth="1"/>
    <col min="64" max="64" width="7.5703125" style="75" customWidth="1"/>
    <col min="65" max="65" width="4.28515625" style="75" hidden="1" customWidth="1"/>
    <col min="66" max="66" width="2.28515625" style="75" customWidth="1"/>
    <col min="67" max="67" width="8.28515625" style="75" customWidth="1"/>
    <col min="68" max="68" width="6.85546875" style="75" customWidth="1"/>
    <col min="69" max="69" width="7.7109375" style="75" customWidth="1"/>
    <col min="70" max="70" width="6.85546875" style="75" hidden="1" customWidth="1"/>
    <col min="71" max="71" width="7.42578125" style="75" customWidth="1"/>
    <col min="72" max="72" width="8.42578125" style="75" hidden="1" customWidth="1"/>
    <col min="73" max="73" width="7.140625" style="75" customWidth="1"/>
    <col min="74" max="76" width="7.5703125" style="75" hidden="1" customWidth="1"/>
    <col min="77" max="77" width="7.140625" style="75" customWidth="1"/>
    <col min="78" max="78" width="7.42578125" style="75" customWidth="1"/>
    <col min="79" max="79" width="6.85546875" style="75" customWidth="1"/>
    <col min="80" max="80" width="8" style="75" bestFit="1" customWidth="1"/>
    <col min="81" max="81" width="8.85546875" style="75" hidden="1" customWidth="1"/>
    <col min="82" max="84" width="5" style="75" hidden="1" customWidth="1"/>
    <col min="85" max="85" width="8.7109375" style="75" hidden="1" customWidth="1"/>
    <col min="86" max="86" width="6.85546875" style="75" hidden="1" customWidth="1"/>
    <col min="87" max="89" width="6.28515625" style="75" hidden="1" customWidth="1"/>
    <col min="90" max="90" width="7.85546875" style="75" hidden="1" customWidth="1"/>
    <col min="91" max="91" width="12" style="75" hidden="1" customWidth="1"/>
    <col min="92" max="92" width="9.5703125" style="75" hidden="1" customWidth="1"/>
    <col min="93" max="93" width="10.140625" style="75" hidden="1" customWidth="1"/>
    <col min="94" max="94" width="12" style="75" hidden="1" customWidth="1"/>
    <col min="95" max="95" width="10.42578125" style="75" hidden="1" customWidth="1"/>
    <col min="96" max="97" width="11.140625" style="75" hidden="1" customWidth="1"/>
    <col min="98" max="98" width="10.28515625" style="75" hidden="1" customWidth="1"/>
    <col min="99" max="99" width="8.85546875" style="75" hidden="1" customWidth="1"/>
    <col min="100" max="100" width="8.7109375" style="75" hidden="1" customWidth="1"/>
    <col min="101" max="101" width="5.7109375" style="75" hidden="1" customWidth="1"/>
    <col min="102" max="102" width="10.140625" style="75" hidden="1" customWidth="1"/>
    <col min="103" max="109" width="10.28515625" style="75" hidden="1" customWidth="1"/>
    <col min="110" max="110" width="5" style="75" hidden="1" customWidth="1"/>
    <col min="111" max="111" width="8.7109375" style="75" hidden="1" customWidth="1"/>
    <col min="112" max="112" width="8.85546875" style="75" hidden="1" customWidth="1"/>
    <col min="113" max="113" width="6.140625" style="75" hidden="1" customWidth="1"/>
    <col min="114" max="114" width="5.7109375" style="75" hidden="1" customWidth="1"/>
    <col min="115" max="115" width="7.28515625" style="75" hidden="1" customWidth="1"/>
    <col min="116" max="117" width="6.28515625" style="75" hidden="1" customWidth="1"/>
    <col min="118" max="118" width="8.5703125" style="75" hidden="1" customWidth="1"/>
    <col min="119" max="119" width="7.85546875" style="75" hidden="1" customWidth="1"/>
    <col min="120" max="120" width="7.7109375" style="75" hidden="1" customWidth="1"/>
    <col min="121" max="121" width="8.5703125" style="75" hidden="1" customWidth="1"/>
    <col min="122" max="122" width="7.42578125" style="75" hidden="1" customWidth="1"/>
    <col min="123" max="123" width="8.7109375" style="75" hidden="1" customWidth="1"/>
    <col min="124" max="124" width="7.85546875" style="75" hidden="1" customWidth="1"/>
    <col min="125" max="125" width="2.140625" style="75" hidden="1" customWidth="1"/>
    <col min="126" max="126" width="8.7109375" style="75" bestFit="1" customWidth="1"/>
    <col min="127" max="127" width="8.7109375" style="75" customWidth="1"/>
    <col min="128" max="128" width="9" style="75" customWidth="1"/>
    <col min="129" max="129" width="9.42578125" style="75" customWidth="1"/>
    <col min="130" max="130" width="9.7109375" style="75" bestFit="1" customWidth="1"/>
    <col min="131" max="131" width="9.85546875" style="75" customWidth="1"/>
    <col min="132" max="132" width="13.42578125" style="77" customWidth="1"/>
    <col min="133" max="163" width="8.85546875" style="75" customWidth="1"/>
    <col min="164" max="16384" width="8.85546875" style="76"/>
  </cols>
  <sheetData>
    <row r="1" spans="1:254" ht="39.6" customHeight="1" thickBot="1">
      <c r="A1" s="115"/>
      <c r="B1" s="116"/>
      <c r="C1" s="116"/>
      <c r="D1" s="116"/>
      <c r="E1" s="118"/>
      <c r="F1" s="116"/>
      <c r="G1" s="116"/>
      <c r="H1" s="119"/>
      <c r="I1" s="119"/>
      <c r="J1" s="116"/>
      <c r="K1" s="116"/>
      <c r="L1" s="116"/>
      <c r="M1" s="116"/>
      <c r="N1" s="116"/>
      <c r="O1" s="116"/>
      <c r="P1" s="116"/>
      <c r="Q1" s="116"/>
      <c r="R1" s="116"/>
      <c r="S1" s="116"/>
      <c r="T1" s="116"/>
      <c r="U1" s="116"/>
      <c r="V1" s="116"/>
      <c r="W1" s="116"/>
      <c r="X1" s="116"/>
      <c r="Y1" s="116"/>
      <c r="Z1" s="116"/>
      <c r="AA1" s="116"/>
      <c r="AB1" s="116"/>
      <c r="AC1" s="116"/>
      <c r="AD1" s="116"/>
      <c r="AE1" s="116"/>
      <c r="AF1" s="116"/>
      <c r="AG1" s="116" t="s">
        <v>138</v>
      </c>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7"/>
      <c r="BM1" s="198"/>
      <c r="BN1" s="76"/>
      <c r="BO1" s="501" t="s">
        <v>137</v>
      </c>
      <c r="BP1" s="502"/>
      <c r="BQ1" s="502"/>
      <c r="BR1" s="502"/>
      <c r="BS1" s="502"/>
      <c r="BT1" s="502"/>
      <c r="BU1" s="502"/>
      <c r="BV1" s="502"/>
      <c r="BW1" s="502"/>
      <c r="BX1" s="502"/>
      <c r="BY1" s="502"/>
      <c r="BZ1" s="502"/>
      <c r="CA1" s="502"/>
      <c r="CB1" s="502"/>
      <c r="CC1" s="502"/>
      <c r="CD1" s="502"/>
      <c r="CE1" s="502"/>
      <c r="CF1" s="502"/>
      <c r="CG1" s="502"/>
      <c r="CH1" s="502"/>
      <c r="CI1" s="502"/>
      <c r="CJ1" s="502"/>
      <c r="CK1" s="502"/>
      <c r="CL1" s="502"/>
      <c r="CM1" s="502"/>
      <c r="CN1" s="502"/>
      <c r="CO1" s="502"/>
      <c r="CP1" s="502"/>
      <c r="CQ1" s="502"/>
      <c r="CR1" s="502"/>
      <c r="CS1" s="502"/>
      <c r="CT1" s="502"/>
      <c r="CU1" s="502"/>
      <c r="CV1" s="502"/>
      <c r="CW1" s="502"/>
      <c r="CX1" s="502"/>
      <c r="CY1" s="502"/>
      <c r="CZ1" s="502"/>
      <c r="DA1" s="502"/>
      <c r="DB1" s="502"/>
      <c r="DC1" s="502"/>
      <c r="DD1" s="502"/>
      <c r="DE1" s="502"/>
      <c r="DF1" s="502"/>
      <c r="DG1" s="502"/>
      <c r="DH1" s="502"/>
      <c r="DI1" s="502"/>
      <c r="DJ1" s="502"/>
      <c r="DK1" s="502"/>
      <c r="DL1" s="502"/>
      <c r="DM1" s="502"/>
      <c r="DN1" s="502"/>
      <c r="DO1" s="502"/>
      <c r="DP1" s="502"/>
      <c r="DQ1" s="502"/>
      <c r="DR1" s="502"/>
      <c r="DS1" s="502"/>
      <c r="DT1" s="502"/>
      <c r="DU1" s="502"/>
      <c r="DV1" s="502"/>
      <c r="DW1" s="502"/>
      <c r="DX1" s="502"/>
      <c r="DY1" s="502"/>
      <c r="DZ1" s="502"/>
      <c r="EA1" s="502"/>
      <c r="EB1" s="503"/>
      <c r="FG1" s="76"/>
    </row>
    <row r="2" spans="1:254" s="74" customFormat="1" ht="3.75" customHeight="1">
      <c r="A2" s="126"/>
      <c r="B2" s="126"/>
      <c r="C2" s="126"/>
      <c r="D2" s="126"/>
      <c r="E2" s="126"/>
      <c r="F2" s="126"/>
      <c r="G2" s="126"/>
      <c r="H2" s="127"/>
      <c r="I2" s="127"/>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50"/>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row>
    <row r="3" spans="1:254" customFormat="1" ht="14.25" customHeight="1">
      <c r="A3" s="260" t="s">
        <v>135</v>
      </c>
      <c r="B3" s="232">
        <f>MAX(GPM)</f>
        <v>0</v>
      </c>
      <c r="C3" s="75"/>
      <c r="D3" t="s">
        <v>1</v>
      </c>
      <c r="E3" s="67"/>
      <c r="F3" s="75"/>
      <c r="G3" s="75"/>
      <c r="H3" s="492" t="s">
        <v>161</v>
      </c>
      <c r="I3" s="493"/>
      <c r="J3" s="493"/>
      <c r="K3" s="493"/>
      <c r="L3" s="494"/>
      <c r="S3" t="s">
        <v>161</v>
      </c>
      <c r="T3" t="s">
        <v>162</v>
      </c>
      <c r="Z3" s="106">
        <v>100</v>
      </c>
      <c r="AG3" s="442"/>
      <c r="AH3" s="75"/>
      <c r="BJ3" s="13"/>
      <c r="BK3" s="13"/>
      <c r="BL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row>
    <row r="4" spans="1:254" s="74" customFormat="1" ht="4.5" customHeight="1" thickBot="1">
      <c r="A4" s="126"/>
      <c r="B4" s="126"/>
      <c r="C4" s="126"/>
      <c r="D4" s="126"/>
      <c r="E4" s="126"/>
      <c r="F4" s="126"/>
      <c r="G4" s="126"/>
      <c r="H4" s="127"/>
      <c r="I4" s="127"/>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50"/>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c r="IT4" s="150"/>
    </row>
    <row r="5" spans="1:254" s="124" customFormat="1" ht="65.45" customHeight="1">
      <c r="A5" s="443" t="s">
        <v>268</v>
      </c>
      <c r="B5" s="444" t="s">
        <v>152</v>
      </c>
      <c r="C5" s="445"/>
      <c r="D5" s="444" t="s">
        <v>30</v>
      </c>
      <c r="E5" s="444"/>
      <c r="F5" s="444" t="s">
        <v>150</v>
      </c>
      <c r="G5" s="444" t="s">
        <v>149</v>
      </c>
      <c r="H5" s="446" t="s">
        <v>151</v>
      </c>
      <c r="I5" s="446" t="s">
        <v>284</v>
      </c>
      <c r="J5" s="444" t="s">
        <v>67</v>
      </c>
      <c r="K5" s="495" t="s">
        <v>124</v>
      </c>
      <c r="L5" s="495"/>
      <c r="M5" s="447"/>
      <c r="N5" s="447"/>
      <c r="O5" s="447"/>
      <c r="P5" s="447"/>
      <c r="Q5" s="495" t="s">
        <v>125</v>
      </c>
      <c r="R5" s="495"/>
      <c r="S5" s="444" t="s">
        <v>13</v>
      </c>
      <c r="T5" s="444" t="s">
        <v>122</v>
      </c>
      <c r="U5" s="444" t="s">
        <v>10</v>
      </c>
      <c r="V5" s="444" t="s">
        <v>43</v>
      </c>
      <c r="W5" s="444" t="s">
        <v>42</v>
      </c>
      <c r="X5" s="444" t="s">
        <v>45</v>
      </c>
      <c r="Y5" s="448" t="s">
        <v>21</v>
      </c>
      <c r="Z5" s="448" t="s">
        <v>170</v>
      </c>
      <c r="AA5" s="448" t="s">
        <v>46</v>
      </c>
      <c r="AB5" s="444" t="s">
        <v>22</v>
      </c>
      <c r="AC5" s="444" t="s">
        <v>167</v>
      </c>
      <c r="AD5" s="444" t="s">
        <v>168</v>
      </c>
      <c r="AE5" s="444" t="s">
        <v>169</v>
      </c>
      <c r="AF5" s="444" t="s">
        <v>51</v>
      </c>
      <c r="AG5" s="444" t="s">
        <v>247</v>
      </c>
      <c r="AH5" s="446" t="s">
        <v>177</v>
      </c>
      <c r="AI5" s="444" t="s">
        <v>31</v>
      </c>
      <c r="AJ5" s="495" t="s">
        <v>50</v>
      </c>
      <c r="AK5" s="495"/>
      <c r="AL5" s="495" t="s">
        <v>109</v>
      </c>
      <c r="AM5" s="495"/>
      <c r="AN5" s="495" t="s">
        <v>171</v>
      </c>
      <c r="AO5" s="495"/>
      <c r="AP5" s="495"/>
      <c r="AQ5" s="495"/>
      <c r="AR5" s="495"/>
      <c r="AS5" s="495"/>
      <c r="AT5" s="495"/>
      <c r="AU5" s="495"/>
      <c r="AV5" s="495"/>
      <c r="AW5" s="495"/>
      <c r="AX5" s="495"/>
      <c r="AY5" s="495"/>
      <c r="AZ5" s="495"/>
      <c r="BA5" s="495"/>
      <c r="BB5" s="495"/>
      <c r="BC5" s="495"/>
      <c r="BD5" s="495"/>
      <c r="BE5" s="495"/>
      <c r="BF5" s="495"/>
      <c r="BG5" s="495"/>
      <c r="BH5" s="444"/>
      <c r="BI5" s="449"/>
      <c r="BJ5" s="349" t="s">
        <v>52</v>
      </c>
      <c r="BK5" s="349"/>
      <c r="BL5" s="350" t="s">
        <v>148</v>
      </c>
      <c r="BM5" s="123"/>
      <c r="BN5" s="78"/>
      <c r="BO5" s="499" t="s">
        <v>139</v>
      </c>
      <c r="BP5" s="500"/>
      <c r="BQ5" s="352" t="s">
        <v>48</v>
      </c>
      <c r="BR5" s="352" t="s">
        <v>25</v>
      </c>
      <c r="BS5" s="348" t="s">
        <v>248</v>
      </c>
      <c r="BT5" s="163" t="s">
        <v>113</v>
      </c>
      <c r="BU5" s="163" t="s">
        <v>204</v>
      </c>
      <c r="BV5" s="163" t="s">
        <v>210</v>
      </c>
      <c r="BW5" s="249" t="s">
        <v>207</v>
      </c>
      <c r="BX5" s="249" t="s">
        <v>208</v>
      </c>
      <c r="BY5" s="504" t="s">
        <v>216</v>
      </c>
      <c r="BZ5" s="505"/>
      <c r="CA5" s="504" t="s">
        <v>66</v>
      </c>
      <c r="CB5" s="505"/>
      <c r="CC5" s="163"/>
      <c r="CD5" s="496" t="s">
        <v>14</v>
      </c>
      <c r="CE5" s="496"/>
      <c r="CF5" s="496" t="s">
        <v>15</v>
      </c>
      <c r="CG5" s="496"/>
      <c r="CH5" s="163" t="s">
        <v>111</v>
      </c>
      <c r="CI5" s="496" t="s">
        <v>110</v>
      </c>
      <c r="CJ5" s="496"/>
      <c r="CK5" s="496"/>
      <c r="CL5" s="496"/>
      <c r="CM5" s="496"/>
      <c r="CN5" s="496"/>
      <c r="CO5" s="163" t="s">
        <v>145</v>
      </c>
      <c r="CP5" s="163" t="s">
        <v>179</v>
      </c>
      <c r="CQ5" s="163" t="s">
        <v>178</v>
      </c>
      <c r="CR5" s="163" t="s">
        <v>218</v>
      </c>
      <c r="CS5" s="163" t="s">
        <v>219</v>
      </c>
      <c r="CT5" s="496" t="s">
        <v>129</v>
      </c>
      <c r="CU5" s="496"/>
      <c r="CV5" s="496" t="s">
        <v>72</v>
      </c>
      <c r="CW5" s="496"/>
      <c r="CX5" s="163" t="s">
        <v>73</v>
      </c>
      <c r="CY5" s="496" t="s">
        <v>74</v>
      </c>
      <c r="CZ5" s="496"/>
      <c r="DA5" s="496"/>
      <c r="DB5" s="496"/>
      <c r="DC5" s="496"/>
      <c r="DD5" s="496"/>
      <c r="DE5" s="496"/>
      <c r="DF5" s="163"/>
      <c r="DG5" s="496" t="s">
        <v>128</v>
      </c>
      <c r="DH5" s="496"/>
      <c r="DI5" s="496" t="s">
        <v>75</v>
      </c>
      <c r="DJ5" s="496"/>
      <c r="DK5" s="163" t="s">
        <v>76</v>
      </c>
      <c r="DL5" s="496" t="s">
        <v>77</v>
      </c>
      <c r="DM5" s="496"/>
      <c r="DN5" s="496"/>
      <c r="DO5" s="496"/>
      <c r="DP5" s="496"/>
      <c r="DQ5" s="496"/>
      <c r="DR5" s="496"/>
      <c r="DS5" s="163" t="s">
        <v>298</v>
      </c>
      <c r="DT5" s="163" t="s">
        <v>299</v>
      </c>
      <c r="DU5" s="163"/>
      <c r="DV5" s="496" t="s">
        <v>146</v>
      </c>
      <c r="DW5" s="496"/>
      <c r="DX5" s="496"/>
      <c r="DY5" s="496"/>
      <c r="DZ5" s="496"/>
      <c r="EA5" s="163" t="s">
        <v>147</v>
      </c>
      <c r="EB5" s="164" t="s">
        <v>220</v>
      </c>
      <c r="EC5" s="497" t="s">
        <v>91</v>
      </c>
      <c r="ED5" s="498"/>
      <c r="EE5" s="498"/>
      <c r="EF5" s="498"/>
      <c r="EG5" s="498"/>
      <c r="EH5" s="498"/>
      <c r="EI5" s="498"/>
      <c r="EJ5" s="498"/>
      <c r="EK5" s="498"/>
      <c r="EL5" s="498"/>
      <c r="EM5" s="498"/>
      <c r="EN5" s="498"/>
      <c r="EO5" s="498"/>
      <c r="EP5" s="498"/>
      <c r="EQ5" s="498"/>
      <c r="ER5" s="498"/>
      <c r="ES5" s="498"/>
      <c r="ET5" s="498"/>
      <c r="EU5" s="498"/>
      <c r="EV5" s="498"/>
      <c r="EW5" s="498"/>
      <c r="EX5" s="498"/>
      <c r="EY5" s="498"/>
      <c r="EZ5" s="498"/>
      <c r="FA5" s="498"/>
      <c r="FB5" s="498"/>
      <c r="FC5" s="498"/>
      <c r="FD5" s="498"/>
      <c r="FE5" s="498"/>
      <c r="FF5" s="498"/>
      <c r="FG5" s="498"/>
      <c r="FH5" s="498"/>
      <c r="FI5" s="498"/>
      <c r="FJ5" s="498"/>
      <c r="FK5" s="498"/>
      <c r="FL5" s="498"/>
      <c r="FM5" s="498"/>
      <c r="FN5" s="498"/>
      <c r="FO5" s="498"/>
      <c r="FP5" s="498"/>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c r="IR5" s="151"/>
      <c r="IS5" s="151"/>
      <c r="IT5" s="151"/>
    </row>
    <row r="6" spans="1:254" s="89" customFormat="1" ht="40.15" customHeight="1">
      <c r="A6" s="152" t="s">
        <v>154</v>
      </c>
      <c r="B6" s="152"/>
      <c r="C6" s="154" t="s">
        <v>166</v>
      </c>
      <c r="D6" s="152" t="s">
        <v>1</v>
      </c>
      <c r="E6" s="152" t="s">
        <v>153</v>
      </c>
      <c r="F6" s="152" t="s">
        <v>32</v>
      </c>
      <c r="G6" s="152" t="s">
        <v>32</v>
      </c>
      <c r="H6" s="157" t="s">
        <v>32</v>
      </c>
      <c r="I6" s="153"/>
      <c r="J6" s="152" t="s">
        <v>68</v>
      </c>
      <c r="K6" s="154"/>
      <c r="L6" s="157" t="s">
        <v>89</v>
      </c>
      <c r="M6" s="152" t="s">
        <v>100</v>
      </c>
      <c r="N6" s="152" t="s">
        <v>101</v>
      </c>
      <c r="O6" s="152" t="s">
        <v>102</v>
      </c>
      <c r="P6" s="152" t="s">
        <v>99</v>
      </c>
      <c r="Q6" s="154"/>
      <c r="R6" s="157" t="s">
        <v>89</v>
      </c>
      <c r="S6" s="152"/>
      <c r="T6" s="152"/>
      <c r="U6" s="152"/>
      <c r="V6" s="152"/>
      <c r="W6" s="152"/>
      <c r="X6" s="152"/>
      <c r="Y6" s="152"/>
      <c r="Z6" s="152"/>
      <c r="AA6" s="152"/>
      <c r="AB6" s="152"/>
      <c r="AC6" s="152"/>
      <c r="AD6" s="152"/>
      <c r="AE6" s="152"/>
      <c r="AF6" s="152"/>
      <c r="AG6" s="152" t="s">
        <v>32</v>
      </c>
      <c r="AH6" s="153"/>
      <c r="AI6" s="152" t="s">
        <v>24</v>
      </c>
      <c r="AJ6" s="152" t="s">
        <v>226</v>
      </c>
      <c r="AK6" s="152" t="s">
        <v>227</v>
      </c>
      <c r="AL6" s="155" t="str">
        <f>Constants!E10</f>
        <v>Straight</v>
      </c>
      <c r="AM6" s="155" t="str">
        <f>Constants!F10</f>
        <v>Branch</v>
      </c>
      <c r="AN6" s="156" t="str">
        <f>Constants!J10</f>
        <v>Circuit Setter</v>
      </c>
      <c r="AO6" s="156" t="s">
        <v>172</v>
      </c>
      <c r="AP6" s="450"/>
      <c r="AQ6" s="180" t="str">
        <f>Constants!K10</f>
        <v>Silent Check</v>
      </c>
      <c r="AR6" s="156" t="s">
        <v>172</v>
      </c>
      <c r="AS6" s="156"/>
      <c r="AT6" s="156" t="str">
        <f>Constants!L10</f>
        <v>Swing Check</v>
      </c>
      <c r="AU6" s="156" t="s">
        <v>172</v>
      </c>
      <c r="AV6" s="156"/>
      <c r="AW6" s="156" t="s">
        <v>118</v>
      </c>
      <c r="AX6" s="156" t="s">
        <v>172</v>
      </c>
      <c r="AY6" s="156"/>
      <c r="AZ6" s="156" t="s">
        <v>123</v>
      </c>
      <c r="BA6" s="156" t="str">
        <f>CM6</f>
        <v>Wye-Strainer</v>
      </c>
      <c r="BB6" s="156" t="s">
        <v>172</v>
      </c>
      <c r="BC6" s="156"/>
      <c r="BD6" s="156" t="str">
        <f>CN6</f>
        <v>Suction Diffuser</v>
      </c>
      <c r="BE6" s="156" t="s">
        <v>172</v>
      </c>
      <c r="BF6" s="156"/>
      <c r="BG6" s="156" t="s">
        <v>143</v>
      </c>
      <c r="BH6" s="156" t="s">
        <v>172</v>
      </c>
      <c r="BI6" s="156"/>
      <c r="BJ6" s="152" t="s">
        <v>26</v>
      </c>
      <c r="BK6" s="152"/>
      <c r="BL6" s="152" t="s">
        <v>24</v>
      </c>
      <c r="BM6" s="78"/>
      <c r="BN6" s="78"/>
      <c r="BO6" s="165" t="s">
        <v>24</v>
      </c>
      <c r="BP6" s="157" t="s">
        <v>115</v>
      </c>
      <c r="BQ6" s="353" t="s">
        <v>103</v>
      </c>
      <c r="BR6" s="353" t="s">
        <v>112</v>
      </c>
      <c r="BS6" s="157" t="s">
        <v>249</v>
      </c>
      <c r="BT6" s="166"/>
      <c r="BU6" s="166" t="s">
        <v>205</v>
      </c>
      <c r="BV6" s="166" t="s">
        <v>65</v>
      </c>
      <c r="BW6" s="166" t="s">
        <v>65</v>
      </c>
      <c r="BX6" s="166" t="s">
        <v>215</v>
      </c>
      <c r="BY6" s="166" t="s">
        <v>65</v>
      </c>
      <c r="BZ6" s="166" t="s">
        <v>217</v>
      </c>
      <c r="CA6" s="166" t="s">
        <v>64</v>
      </c>
      <c r="CB6" s="166" t="s">
        <v>209</v>
      </c>
      <c r="CC6" s="166"/>
      <c r="CD6" s="166">
        <v>90</v>
      </c>
      <c r="CE6" s="166">
        <v>45</v>
      </c>
      <c r="CF6" s="166" t="s">
        <v>6</v>
      </c>
      <c r="CG6" s="166" t="s">
        <v>4</v>
      </c>
      <c r="CH6" s="166"/>
      <c r="CI6" s="167" t="str">
        <f>Constants!J10</f>
        <v>Circuit Setter</v>
      </c>
      <c r="CJ6" s="167" t="str">
        <f>Constants!K10</f>
        <v>Silent Check</v>
      </c>
      <c r="CK6" s="167" t="str">
        <f>Constants!L10</f>
        <v>Swing Check</v>
      </c>
      <c r="CL6" s="167" t="s">
        <v>117</v>
      </c>
      <c r="CM6" s="167" t="str">
        <f>Constants!O10</f>
        <v>Wye-Strainer</v>
      </c>
      <c r="CN6" s="167" t="str">
        <f>Constants!P10</f>
        <v>Suction Diffuser</v>
      </c>
      <c r="CO6" s="166" t="s">
        <v>144</v>
      </c>
      <c r="CP6" s="166"/>
      <c r="CQ6" s="166"/>
      <c r="CR6" s="166"/>
      <c r="CS6" s="166"/>
      <c r="CT6" s="166" t="s">
        <v>78</v>
      </c>
      <c r="CU6" s="166" t="s">
        <v>79</v>
      </c>
      <c r="CV6" s="166">
        <v>90</v>
      </c>
      <c r="CW6" s="166">
        <v>45</v>
      </c>
      <c r="CX6" s="166" t="s">
        <v>6</v>
      </c>
      <c r="CY6" s="166" t="str">
        <f>Constants!J10</f>
        <v>Circuit Setter</v>
      </c>
      <c r="CZ6" s="166" t="str">
        <f>Constants!K10</f>
        <v>Silent Check</v>
      </c>
      <c r="DA6" s="166" t="str">
        <f>Constants!L10</f>
        <v>Swing Check</v>
      </c>
      <c r="DB6" s="166" t="s">
        <v>117</v>
      </c>
      <c r="DC6" s="166" t="str">
        <f>Constants!O10</f>
        <v>Wye-Strainer</v>
      </c>
      <c r="DD6" s="166" t="str">
        <f>Constants!P10</f>
        <v>Suction Diffuser</v>
      </c>
      <c r="DE6" s="166" t="str">
        <f>Constants!Q10</f>
        <v>Flow Limiting Valve</v>
      </c>
      <c r="DF6" s="166"/>
      <c r="DG6" s="166" t="s">
        <v>78</v>
      </c>
      <c r="DH6" s="166" t="s">
        <v>79</v>
      </c>
      <c r="DI6" s="166">
        <v>90</v>
      </c>
      <c r="DJ6" s="166">
        <v>45</v>
      </c>
      <c r="DK6" s="166" t="s">
        <v>6</v>
      </c>
      <c r="DL6" s="166" t="str">
        <f>Constants!J10</f>
        <v>Circuit Setter</v>
      </c>
      <c r="DM6" s="166" t="str">
        <f>Constants!K10</f>
        <v>Silent Check</v>
      </c>
      <c r="DN6" s="166" t="str">
        <f>Constants!L10</f>
        <v>Swing Check</v>
      </c>
      <c r="DO6" s="166" t="str">
        <f>CL6</f>
        <v>Ball/ Butterfly</v>
      </c>
      <c r="DP6" s="166" t="str">
        <f>Constants!O10</f>
        <v>Wye-Strainer</v>
      </c>
      <c r="DQ6" s="166" t="str">
        <f>Constants!P10</f>
        <v>Suction Diffuser</v>
      </c>
      <c r="DR6" s="166" t="str">
        <f>Constants!Q10</f>
        <v>Flow Limiting Valve</v>
      </c>
      <c r="DS6" s="166"/>
      <c r="DT6" s="166"/>
      <c r="DU6" s="166"/>
      <c r="DV6" s="166" t="s">
        <v>54</v>
      </c>
      <c r="DW6" s="166" t="s">
        <v>273</v>
      </c>
      <c r="DX6" s="166" t="s">
        <v>53</v>
      </c>
      <c r="DY6" s="166" t="s">
        <v>276</v>
      </c>
      <c r="DZ6" s="166" t="s">
        <v>84</v>
      </c>
      <c r="EA6" s="166"/>
      <c r="EB6" s="168"/>
      <c r="EC6" s="89">
        <v>1</v>
      </c>
      <c r="ED6" s="89">
        <v>2</v>
      </c>
      <c r="EE6" s="89">
        <v>3</v>
      </c>
      <c r="EF6" s="89">
        <v>4</v>
      </c>
      <c r="EG6" s="89">
        <v>5</v>
      </c>
      <c r="EH6" s="89">
        <v>6</v>
      </c>
      <c r="EI6" s="89">
        <v>7</v>
      </c>
      <c r="EJ6" s="89">
        <v>8</v>
      </c>
      <c r="EK6" s="89">
        <v>9</v>
      </c>
      <c r="EL6" s="89">
        <v>10</v>
      </c>
      <c r="EM6" s="89">
        <v>11</v>
      </c>
      <c r="EN6" s="89">
        <v>12</v>
      </c>
      <c r="EO6" s="89">
        <v>13</v>
      </c>
      <c r="EP6" s="89">
        <v>14</v>
      </c>
      <c r="EQ6" s="89">
        <v>15</v>
      </c>
      <c r="ER6" s="89">
        <v>16</v>
      </c>
      <c r="ES6" s="89">
        <v>17</v>
      </c>
      <c r="ET6" s="89">
        <v>18</v>
      </c>
      <c r="EU6" s="89">
        <v>19</v>
      </c>
      <c r="EV6" s="89">
        <v>20</v>
      </c>
      <c r="EW6" s="89">
        <v>21</v>
      </c>
      <c r="EX6" s="89">
        <v>22</v>
      </c>
      <c r="EY6" s="89">
        <v>23</v>
      </c>
      <c r="EZ6" s="89">
        <v>24</v>
      </c>
      <c r="FA6" s="89">
        <v>25</v>
      </c>
      <c r="FB6" s="89">
        <v>26</v>
      </c>
      <c r="FC6" s="89">
        <v>27</v>
      </c>
      <c r="FD6" s="89">
        <v>28</v>
      </c>
      <c r="FE6" s="89">
        <v>29</v>
      </c>
      <c r="FF6" s="89">
        <v>30</v>
      </c>
      <c r="FG6" s="89">
        <v>31</v>
      </c>
      <c r="FH6" s="89">
        <v>32</v>
      </c>
      <c r="FI6" s="89">
        <v>33</v>
      </c>
      <c r="FJ6" s="89">
        <v>34</v>
      </c>
      <c r="FK6" s="89">
        <v>35</v>
      </c>
      <c r="FL6" s="89">
        <v>36</v>
      </c>
      <c r="FM6" s="89">
        <v>37</v>
      </c>
      <c r="FN6" s="89">
        <v>38</v>
      </c>
      <c r="FO6" s="89">
        <v>39</v>
      </c>
      <c r="FP6" s="89">
        <v>40</v>
      </c>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c r="IR6" s="151"/>
      <c r="IS6" s="151"/>
      <c r="IT6" s="151"/>
    </row>
    <row r="7" spans="1:254">
      <c r="A7" s="104"/>
      <c r="B7" s="104">
        <v>1</v>
      </c>
      <c r="C7" s="177" t="b">
        <v>1</v>
      </c>
      <c r="D7" s="104"/>
      <c r="E7" s="73">
        <f>MROUND(D7,1)</f>
        <v>0</v>
      </c>
      <c r="F7" s="109" t="s">
        <v>141</v>
      </c>
      <c r="G7" s="110">
        <v>6</v>
      </c>
      <c r="H7" s="120">
        <f>IF(F7=$F$100,G7,F7)</f>
        <v>6</v>
      </c>
      <c r="I7" s="120" t="s">
        <v>141</v>
      </c>
      <c r="J7" s="183">
        <f>'System Assumptions'!$D$11</f>
        <v>2000</v>
      </c>
      <c r="K7" s="105" t="s">
        <v>119</v>
      </c>
      <c r="L7" s="158" t="str">
        <f>IF(K7=$K$101,"N/A",IF(BQ7&gt;(VLOOKUP(U7,Constants!$C$127:$D$141,2)),"YES","NO"))</f>
        <v>NO</v>
      </c>
      <c r="M7" s="66">
        <f>O7^3</f>
        <v>125000</v>
      </c>
      <c r="N7" s="66">
        <f>O7^2</f>
        <v>2500</v>
      </c>
      <c r="O7" s="66">
        <f>'System Assumptions'!$D$8</f>
        <v>50</v>
      </c>
      <c r="P7" s="66">
        <f>TREND(Constants!$K$38:$K$47,Constants!$H$38:$J$47,M7:O7)</f>
        <v>1.4249979974417602E-5</v>
      </c>
      <c r="Q7" s="105" t="s">
        <v>119</v>
      </c>
      <c r="R7" s="160" t="str">
        <f>IF(Q7=$Q$100,IF(BQ7&gt;VLOOKUP(J7*BT7,Constants!$L$127:$M$131,2,1),"YES","NO"),"N/A")</f>
        <v>NO</v>
      </c>
      <c r="S7" s="73">
        <f>IF(H7&gt;0,IF(H7&gt;Constants!$F$52,1,0),0)</f>
        <v>1</v>
      </c>
      <c r="T7" s="73">
        <f>IF(S7=0,Constants!$V$32,Constants!$W$32 )</f>
        <v>1.4999999999999999E-4</v>
      </c>
      <c r="U7" s="73">
        <f>IF(H7&gt;0,VLOOKUP(H7,PIPE_ID,IF(S7=0,2,3)),1)</f>
        <v>6.0650000000000004</v>
      </c>
      <c r="V7" s="73">
        <f>X7^3</f>
        <v>0</v>
      </c>
      <c r="W7" s="73">
        <f>X7^2</f>
        <v>0</v>
      </c>
      <c r="X7" s="73">
        <f>Y7/10000</f>
        <v>0</v>
      </c>
      <c r="Y7" s="73">
        <f xml:space="preserve"> U7/12 * BQ7 / P7</f>
        <v>0</v>
      </c>
      <c r="Z7" s="73">
        <f>T7/(U7/12)</f>
        <v>2.9678483099752673E-4</v>
      </c>
      <c r="AA7" s="73">
        <f>TREND(Constants!$AB$10:$AB$15,Constants!$Y$10:$AA$15,V7:X7)</f>
        <v>34.963423311998667</v>
      </c>
      <c r="AB7" s="73">
        <f>1/(1.14+2*LOG10(Z7))^2</f>
        <v>2.8580734136771244E-2</v>
      </c>
      <c r="AC7" s="73" t="e">
        <f>(2.457*LN(1/((7/Y7)^0.9+(0.27*Z7))))^16</f>
        <v>#DIV/0!</v>
      </c>
      <c r="AD7" s="73" t="e">
        <f>(37530/Y7)^16</f>
        <v>#DIV/0!</v>
      </c>
      <c r="AE7" s="73" t="e">
        <f>8*((8/Y7)^12+(1/(AC7+AD7))^(1.5))^(1/12)</f>
        <v>#DIV/0!</v>
      </c>
      <c r="AF7" s="73" t="str">
        <f>IF(Y7&lt;3000,"Laminar",IF(AND(Y7&gt;10000,Z7&gt;AA7),"Fully Rough","Partially Rough"))</f>
        <v>Laminar</v>
      </c>
      <c r="AG7" s="209" t="s">
        <v>142</v>
      </c>
      <c r="AH7" s="210">
        <f>IF(H7=0,"",IF(AG7='System Assumptions'!$N$12,0,IF(AG7='System Assumptions'!$I$12,VLOOKUP(O7,Constants!$O$99:$U$107,HLOOKUP(H7,Constants!$P$98:$U$99,2)),AG7)))</f>
        <v>1</v>
      </c>
      <c r="AI7" s="104"/>
      <c r="AJ7" s="104"/>
      <c r="AK7" s="104"/>
      <c r="AL7" s="104"/>
      <c r="AM7" s="104"/>
      <c r="AN7" s="104"/>
      <c r="AO7" s="73">
        <f>IF(AND(ISNUMBER(AP7),AP7&lt;&gt;9.99999999999999E+26),AN7,"N")</f>
        <v>0</v>
      </c>
      <c r="AP7" s="183">
        <f>IF(AN7&gt;0,CI7,0)</f>
        <v>0</v>
      </c>
      <c r="AQ7" s="104"/>
      <c r="AR7" s="73">
        <f>IF(AND(ISNUMBER(AS7),AS7&lt;&gt;9.99999999999999E+26),AQ7,"N")</f>
        <v>0</v>
      </c>
      <c r="AS7" s="183">
        <f>IF(AQ7&gt;0,CJ7,0)</f>
        <v>0</v>
      </c>
      <c r="AT7" s="104"/>
      <c r="AU7" s="73">
        <f>IF(AND(ISNUMBER(AV7),AV7&lt;&gt;9.99999999999999E+26),AT7,"N")</f>
        <v>0</v>
      </c>
      <c r="AV7" s="183">
        <f>IF(AT7&gt;0,CL7,0)</f>
        <v>0</v>
      </c>
      <c r="AW7" s="104"/>
      <c r="AX7" s="73">
        <f>IF(AND(ISNUMBER(AY7),AY7&lt;&gt;9.99999999999999E+26),AW7,"N")</f>
        <v>0</v>
      </c>
      <c r="AY7" s="183">
        <f>IF(AW7&gt;0,CL7,0)</f>
        <v>0</v>
      </c>
      <c r="AZ7" s="183">
        <f>IF(H7&lt;Constants!$F$53,0,1)</f>
        <v>1</v>
      </c>
      <c r="BA7" s="104"/>
      <c r="BB7" s="73">
        <f>IF(AND(ISNUMBER(BC7),BC7&lt;&gt;9.99999999999999E+26),BA7,"N")</f>
        <v>0</v>
      </c>
      <c r="BC7" s="183">
        <f>IF(BA7&gt;0,CM7,0)</f>
        <v>0</v>
      </c>
      <c r="BD7" s="104"/>
      <c r="BE7" s="73">
        <f>IF(AND(ISNUMBER(BF7),BF7&lt;&gt;999999999),BD7,"N")</f>
        <v>0</v>
      </c>
      <c r="BF7" s="183">
        <f>IF(BD7&gt;0,CN7,0)</f>
        <v>0</v>
      </c>
      <c r="BG7" s="104"/>
      <c r="BH7" s="73">
        <f>IF(AND(ISNUMBER(BI7),BI7&lt;&gt;999999999),BG7,"N")</f>
        <v>0</v>
      </c>
      <c r="BI7" s="183">
        <f>IF(BG7&gt;0,CO7,0)</f>
        <v>0</v>
      </c>
      <c r="BJ7" s="104"/>
      <c r="BK7" s="73">
        <f>BJ7</f>
        <v>0</v>
      </c>
      <c r="BL7" s="104"/>
      <c r="BM7" s="200">
        <f>BL7</f>
        <v>0</v>
      </c>
      <c r="BN7" s="125"/>
      <c r="BO7" s="480" t="e">
        <f>SUM(BL7,BJ7*2.31,(BR7*AI7/100),CQ7/0.433,CP7)</f>
        <v>#DIV/0!</v>
      </c>
      <c r="BP7" s="383" t="e">
        <f>BO7*0.433</f>
        <v>#DIV/0!</v>
      </c>
      <c r="BQ7" s="384">
        <f>(D7/U7^2)*(1.2835/PI())</f>
        <v>0</v>
      </c>
      <c r="BR7" s="385" t="e">
        <f>100 * AE7 / (U7/12) * BQ7^2 / 64.32</f>
        <v>#DIV/0!</v>
      </c>
      <c r="BS7" s="386">
        <f>AI7*(U7/2/12)^2*PI()*7.481</f>
        <v>0</v>
      </c>
      <c r="BT7" s="387">
        <f>'System Assumptions'!$D$10</f>
        <v>0.3</v>
      </c>
      <c r="BU7" s="388" t="e">
        <f>'Piping Circuit'!$B$3*BO7/(3960*Constants!$F$181)</f>
        <v>#DIV/0!</v>
      </c>
      <c r="BV7" s="388" t="e">
        <f>BU7*0.746/(Constants!$F$199*IF(OR(CONST_VAR_UI=Constants!$Q$161,CONST_VAR_UI='System Assumptions'!$L$9),Constants!$C$217,1))*BT7</f>
        <v>#DIV/0!</v>
      </c>
      <c r="BW7" s="388" t="e">
        <f>BU7*2545/12000*Constants!$C$215*BT7</f>
        <v>#DIV/0!</v>
      </c>
      <c r="BX7" s="388" t="e">
        <f>-BU7*2545/100000/Constants!$C$216*BT7</f>
        <v>#DIV/0!</v>
      </c>
      <c r="BY7" s="388" t="e">
        <f>BV7+IF('System Assumptions'!$D$7='System Assumptions'!$I$7,BW7,0)</f>
        <v>#DIV/0!</v>
      </c>
      <c r="BZ7" s="388">
        <f>IF('System Assumptions'!$D$7='System Assumptions'!$J$7,BX7,0)</f>
        <v>0</v>
      </c>
      <c r="CA7" s="389" t="e">
        <f>BY7*J7</f>
        <v>#DIV/0!</v>
      </c>
      <c r="CB7" s="388">
        <f>BZ7*J7</f>
        <v>0</v>
      </c>
      <c r="CC7" s="387"/>
      <c r="CD7" s="387">
        <f>VLOOKUP($H7,IF($S7=0,K_COPPER,K_STEEL),2)</f>
        <v>0.28999999999999998</v>
      </c>
      <c r="CE7" s="387">
        <f>VLOOKUP($H7,IF($S7=0,K_COPPER,K_STEEL),3)</f>
        <v>0.17</v>
      </c>
      <c r="CF7" s="387">
        <f>VLOOKUP($H7,IF($S7=0,K_COPPER,K_STEEL),4)</f>
        <v>0.12</v>
      </c>
      <c r="CG7" s="387">
        <f>VLOOKUP($H7,IF($S7=0,K_COPPER,K_STEEL),5)</f>
        <v>0.62</v>
      </c>
      <c r="CH7" s="387">
        <f>IF(AJ7&gt;0,CD7*AJ7,0)+IF(AK7&gt;0,CE7*AK7,0)+IF(AL7&gt;0,CF7*AL7,0)+IF(AM7&gt;0,CG7*AM7,0)</f>
        <v>0</v>
      </c>
      <c r="CI7" s="387">
        <f>VLOOKUP($H7,CV_VALVES,2)</f>
        <v>650</v>
      </c>
      <c r="CJ7" s="387">
        <f>VLOOKUP($H7,CV_VALVES,3)</f>
        <v>625</v>
      </c>
      <c r="CK7" s="387">
        <f>VLOOKUP($H7,CV_VALVES,4)</f>
        <v>1440</v>
      </c>
      <c r="CL7" s="387">
        <f>IF(AZ7=0,VLOOKUP($H7,CV_VALVES,5),VLOOKUP($H7,CV_VALVES,6))</f>
        <v>1613</v>
      </c>
      <c r="CM7" s="387">
        <f>VLOOKUP($H7,CV_VALVES,7)</f>
        <v>597</v>
      </c>
      <c r="CN7" s="387">
        <f>VLOOKUP($H7,CV_VALVES,8)</f>
        <v>520</v>
      </c>
      <c r="CO7" s="390">
        <f>VLOOKUP($H7,CV_VALVES,9)</f>
        <v>7.4</v>
      </c>
      <c r="CP7" s="387">
        <f>CH7*BQ7^2/(2*32.1)</f>
        <v>0</v>
      </c>
      <c r="CQ7" s="387">
        <f>IF(AN7&gt;0,($D7/CI7)^2,0)*AN7+IF(AQ7&gt;0,($D7/CJ7)^2,0)*AQ7+IF(AT7&gt;0,($D7/CK7)^2,0)*AT7+IF(AW7&gt;0,($D7/CL7)^2,0)*AW7+IF(BA7&gt;0,($D7/CM7)^2,0)*BA7+IF(BD7&gt;0,($D7/CN7)^2,0)*BD7+IF(BG7&gt;0,CO7,0)*BG7</f>
        <v>0</v>
      </c>
      <c r="CR7" s="387"/>
      <c r="CS7" s="387"/>
      <c r="CT7" s="391">
        <f>VLOOKUP($H7,IF($S7,PRICE_STEEL,PRICE_COPPER),2)*$AI7</f>
        <v>0</v>
      </c>
      <c r="CU7" s="391">
        <f>IF(AH7=0,0,VLOOKUP(H7,Constants!$B$97:$F$119,HLOOKUP(AH7,Constants!$C$96:$F$97,2))*$AI7)</f>
        <v>0</v>
      </c>
      <c r="CV7" s="391">
        <f>VLOOKUP($H7,IF($S7,PRICE_STEEL,PRICE_COPPER),Constants!$E$51)*AJ7</f>
        <v>0</v>
      </c>
      <c r="CW7" s="391">
        <f>VLOOKUP($H7,IF($S7,PRICE_STEEL,PRICE_COPPER),Constants!$G$51)*AK7</f>
        <v>0</v>
      </c>
      <c r="CX7" s="391">
        <f>VLOOKUP($H7,IF($S7,PRICE_STEEL,PRICE_COPPER),Constants!$I$51)*(AL7+AM7)</f>
        <v>0</v>
      </c>
      <c r="CY7" s="391">
        <f>IF(AN7=0,0,VLOOKUP($H7,IF($S7,PRICE_STEEL,PRICE_COPPER),Constants!K$51)*AN7)</f>
        <v>0</v>
      </c>
      <c r="CZ7" s="391">
        <f>IF(AQ7=0,0,VLOOKUP($H7,IF($S7,PRICE_STEEL,PRICE_COPPER),Constants!M$51)*AQ7)</f>
        <v>0</v>
      </c>
      <c r="DA7" s="391">
        <f>IF(AT7=0,0,VLOOKUP($H7,IF($S7,PRICE_STEEL,PRICE_COPPER),Constants!O$51)*AT7)</f>
        <v>0</v>
      </c>
      <c r="DB7" s="391">
        <f>IF(AW7=0,0,VLOOKUP($H7,IF($S7,PRICE_STEEL,PRICE_COPPER),IF(AZ7=0,Constants!Q$51,Constants!S$51))*AW7)</f>
        <v>0</v>
      </c>
      <c r="DC7" s="391">
        <f>IF(BA7=0,0,VLOOKUP($H7,IF($S7,PRICE_STEEL,PRICE_COPPER),Constants!U$51)*BA7)</f>
        <v>0</v>
      </c>
      <c r="DD7" s="391">
        <f>IF(BD7=0,0,VLOOKUP($H7,IF($S7,PRICE_STEEL,PRICE_COPPER),Constants!W$51)*BD7)</f>
        <v>0</v>
      </c>
      <c r="DE7" s="391">
        <f>IF(BG7=0,0,VLOOKUP($H7,IF($S7,PRICE_STEEL,PRICE_COPPER),Constants!Y$51)*BG7)</f>
        <v>0</v>
      </c>
      <c r="DF7" s="391"/>
      <c r="DG7" s="392">
        <f>VLOOKUP($H7,IF($S7,PRICE_STEEL,PRICE_COPPER),Constants!$D$51)*$AI7</f>
        <v>0</v>
      </c>
      <c r="DH7" s="392">
        <f>IF(AH7=0,0,VLOOKUP(H7,Constants!$I$97:$M$119,HLOOKUP(AH7,Constants!$J$96:$M$97,2))*$AI7)</f>
        <v>0</v>
      </c>
      <c r="DI7" s="392">
        <f>VLOOKUP($H7,IF($S7,PRICE_STEEL,PRICE_COPPER),Constants!$F$51)*AJ7</f>
        <v>0</v>
      </c>
      <c r="DJ7" s="392">
        <f>VLOOKUP($H7,IF($S7,PRICE_STEEL,PRICE_COPPER),Constants!$H$51)*AK7</f>
        <v>0</v>
      </c>
      <c r="DK7" s="392">
        <f>VLOOKUP($H7,IF($S7,PRICE_STEEL,PRICE_COPPER),Constants!$J$51)*(AL7+AM7)</f>
        <v>0</v>
      </c>
      <c r="DL7" s="392">
        <f>IF(AN7=0,0,VLOOKUP($H7,IF($S7,PRICE_STEEL,PRICE_COPPER),Constants!L$51)*AN7)</f>
        <v>0</v>
      </c>
      <c r="DM7" s="392">
        <f>IF(AQ7=0,0,VLOOKUP($H7,IF($S7,PRICE_STEEL,PRICE_COPPER),Constants!N$51)*AQ7)</f>
        <v>0</v>
      </c>
      <c r="DN7" s="392">
        <f>IF(AT7=0,0,VLOOKUP($H7,IF($S7,PRICE_STEEL,PRICE_COPPER),Constants!P$51)*AT7)</f>
        <v>0</v>
      </c>
      <c r="DO7" s="392">
        <f>IF(AW7=0,0,VLOOKUP($H7,IF($S7,PRICE_STEEL,PRICE_COPPER),IF(AZ7=0,Constants!R$51,Constants!T$51))*AW7)</f>
        <v>0</v>
      </c>
      <c r="DP7" s="392">
        <f>IF(BA7=0,0,VLOOKUP($H7,IF($S7,PRICE_STEEL,PRICE_COPPER),Constants!V$51)*BA7)</f>
        <v>0</v>
      </c>
      <c r="DQ7" s="392">
        <f>IF(BD7=0,0,VLOOKUP($H7,IF($S7,PRICE_STEEL,PRICE_COPPER),Constants!X$51)*BD7)</f>
        <v>0</v>
      </c>
      <c r="DR7" s="392">
        <f>IF(BG7=0,0,VLOOKUP($H7,IF($S7,PRICE_STEEL,PRICE_COPPER),Constants!Z$51)*BG7)</f>
        <v>0</v>
      </c>
      <c r="DS7" s="392"/>
      <c r="DT7" s="392"/>
      <c r="DU7" s="387"/>
      <c r="DV7" s="393">
        <f>'Economic Assumptions'!$D$7/100*SUM(CT7:DE7)*(1+'Economic Assumptions'!$D$14)^('Economic Assumptions'!$D$12-'Economic Assumptions'!$D$13)</f>
        <v>0</v>
      </c>
      <c r="DW7" s="393">
        <f>DV7*'Economic Assumptions'!$D$15</f>
        <v>0</v>
      </c>
      <c r="DX7" s="393">
        <f>'Economic Assumptions'!$D$8/100*SUM(DG7:DR7)*(1+'Economic Assumptions'!$D$14)^('Economic Assumptions'!$D$12-'Economic Assumptions'!$D$13)</f>
        <v>0</v>
      </c>
      <c r="DY7" s="393">
        <f>SUM(DV7:DX7)*((1+'Economic Assumptions'!$D$10)*(1+'Economic Assumptions'!$D$11)-1)</f>
        <v>0</v>
      </c>
      <c r="DZ7" s="393">
        <f>SUM(DV7:DY7)</f>
        <v>0</v>
      </c>
      <c r="EA7" s="393" t="e">
        <f>IF($H$3=$S$3,NPV(('Economic Assumptions'!$D$20),EC7:FP7),0)</f>
        <v>#DIV/0!</v>
      </c>
      <c r="EB7" s="394" t="e">
        <f>DZ7+IF($H$3=$S$3,EA7,0)</f>
        <v>#DIV/0!</v>
      </c>
      <c r="EC7" s="90" t="e">
        <f>IF(EC$6&gt;'Economic Assumptions'!$D$21,0,($CA7*'Economic Assumptions'!$D$16+$CB7*'Economic Assumptions'!$D$17)*(1+'Economic Assumptions'!$D$18+'Economic Assumptions'!$D$19)^(EC$6))</f>
        <v>#DIV/0!</v>
      </c>
      <c r="ED7" s="90" t="e">
        <f>IF(ED$6&gt;'Economic Assumptions'!$D$21,0,($CA7*'Economic Assumptions'!$D$16+$CB7*'Economic Assumptions'!$D$17)*(1+'Economic Assumptions'!$D$18+'Economic Assumptions'!$D$19)^(ED$6))</f>
        <v>#DIV/0!</v>
      </c>
      <c r="EE7" s="90" t="e">
        <f>IF(EE$6&gt;'Economic Assumptions'!$D$21,0,($CA7*'Economic Assumptions'!$D$16+$CB7*'Economic Assumptions'!$D$17)*(1+'Economic Assumptions'!$D$18+'Economic Assumptions'!$D$19)^(EE$6))</f>
        <v>#DIV/0!</v>
      </c>
      <c r="EF7" s="90" t="e">
        <f>IF(EF$6&gt;'Economic Assumptions'!$D$21,0,($CA7*'Economic Assumptions'!$D$16+$CB7*'Economic Assumptions'!$D$17)*(1+'Economic Assumptions'!$D$18+'Economic Assumptions'!$D$19)^(EF$6))</f>
        <v>#DIV/0!</v>
      </c>
      <c r="EG7" s="90" t="e">
        <f>IF(EG$6&gt;'Economic Assumptions'!$D$21,0,($CA7*'Economic Assumptions'!$D$16+$CB7*'Economic Assumptions'!$D$17)*(1+'Economic Assumptions'!$D$18+'Economic Assumptions'!$D$19)^(EG$6))</f>
        <v>#DIV/0!</v>
      </c>
      <c r="EH7" s="90" t="e">
        <f>IF(EH$6&gt;'Economic Assumptions'!$D$21,0,($CA7*'Economic Assumptions'!$D$16+$CB7*'Economic Assumptions'!$D$17)*(1+'Economic Assumptions'!$D$18+'Economic Assumptions'!$D$19)^(EH$6))</f>
        <v>#DIV/0!</v>
      </c>
      <c r="EI7" s="90" t="e">
        <f>IF(EI$6&gt;'Economic Assumptions'!$D$21,0,($CA7*'Economic Assumptions'!$D$16+$CB7*'Economic Assumptions'!$D$17)*(1+'Economic Assumptions'!$D$18+'Economic Assumptions'!$D$19)^(EI$6))</f>
        <v>#DIV/0!</v>
      </c>
      <c r="EJ7" s="90" t="e">
        <f>IF(EJ$6&gt;'Economic Assumptions'!$D$21,0,($CA7*'Economic Assumptions'!$D$16+$CB7*'Economic Assumptions'!$D$17)*(1+'Economic Assumptions'!$D$18+'Economic Assumptions'!$D$19)^(EJ$6))</f>
        <v>#DIV/0!</v>
      </c>
      <c r="EK7" s="90" t="e">
        <f>IF(EK$6&gt;'Economic Assumptions'!$D$21,0,($CA7*'Economic Assumptions'!$D$16+$CB7*'Economic Assumptions'!$D$17)*(1+'Economic Assumptions'!$D$18+'Economic Assumptions'!$D$19)^(EK$6))</f>
        <v>#DIV/0!</v>
      </c>
      <c r="EL7" s="90" t="e">
        <f>IF(EL$6&gt;'Economic Assumptions'!$D$21,0,($CA7*'Economic Assumptions'!$D$16+$CB7*'Economic Assumptions'!$D$17)*(1+'Economic Assumptions'!$D$18+'Economic Assumptions'!$D$19)^(EL$6))</f>
        <v>#DIV/0!</v>
      </c>
      <c r="EM7" s="90" t="e">
        <f>IF(EM$6&gt;'Economic Assumptions'!$D$21,0,($CA7*'Economic Assumptions'!$D$16+$CB7*'Economic Assumptions'!$D$17)*(1+'Economic Assumptions'!$D$18+'Economic Assumptions'!$D$19)^(EM$6))</f>
        <v>#DIV/0!</v>
      </c>
      <c r="EN7" s="90" t="e">
        <f>IF(EN$6&gt;'Economic Assumptions'!$D$21,0,($CA7*'Economic Assumptions'!$D$16+$CB7*'Economic Assumptions'!$D$17)*(1+'Economic Assumptions'!$D$18+'Economic Assumptions'!$D$19)^(EN$6))</f>
        <v>#DIV/0!</v>
      </c>
      <c r="EO7" s="90" t="e">
        <f>IF(EO$6&gt;'Economic Assumptions'!$D$21,0,($CA7*'Economic Assumptions'!$D$16+$CB7*'Economic Assumptions'!$D$17)*(1+'Economic Assumptions'!$D$18+'Economic Assumptions'!$D$19)^(EO$6))</f>
        <v>#DIV/0!</v>
      </c>
      <c r="EP7" s="90" t="e">
        <f>IF(EP$6&gt;'Economic Assumptions'!$D$21,0,($CA7*'Economic Assumptions'!$D$16+$CB7*'Economic Assumptions'!$D$17)*(1+'Economic Assumptions'!$D$18+'Economic Assumptions'!$D$19)^(EP$6))</f>
        <v>#DIV/0!</v>
      </c>
      <c r="EQ7" s="90" t="e">
        <f>IF(EQ$6&gt;'Economic Assumptions'!$D$21,0,($CA7*'Economic Assumptions'!$D$16+$CB7*'Economic Assumptions'!$D$17)*(1+'Economic Assumptions'!$D$18+'Economic Assumptions'!$D$19)^(EQ$6))</f>
        <v>#DIV/0!</v>
      </c>
      <c r="ER7" s="90" t="e">
        <f>IF(ER$6&gt;'Economic Assumptions'!$D$21,0,($CA7*'Economic Assumptions'!$D$16+$CB7*'Economic Assumptions'!$D$17)*(1+'Economic Assumptions'!$D$18+'Economic Assumptions'!$D$19)^(ER$6))</f>
        <v>#DIV/0!</v>
      </c>
      <c r="ES7" s="90" t="e">
        <f>IF(ES$6&gt;'Economic Assumptions'!$D$21,0,($CA7*'Economic Assumptions'!$D$16+$CB7*'Economic Assumptions'!$D$17)*(1+'Economic Assumptions'!$D$18+'Economic Assumptions'!$D$19)^(ES$6))</f>
        <v>#DIV/0!</v>
      </c>
      <c r="ET7" s="90" t="e">
        <f>IF(ET$6&gt;'Economic Assumptions'!$D$21,0,($CA7*'Economic Assumptions'!$D$16+$CB7*'Economic Assumptions'!$D$17)*(1+'Economic Assumptions'!$D$18+'Economic Assumptions'!$D$19)^(ET$6))</f>
        <v>#DIV/0!</v>
      </c>
      <c r="EU7" s="90" t="e">
        <f>IF(EU$6&gt;'Economic Assumptions'!$D$21,0,($CA7*'Economic Assumptions'!$D$16+$CB7*'Economic Assumptions'!$D$17)*(1+'Economic Assumptions'!$D$18+'Economic Assumptions'!$D$19)^(EU$6))</f>
        <v>#DIV/0!</v>
      </c>
      <c r="EV7" s="90" t="e">
        <f>IF(EV$6&gt;'Economic Assumptions'!$D$21,0,($CA7*'Economic Assumptions'!$D$16+$CB7*'Economic Assumptions'!$D$17)*(1+'Economic Assumptions'!$D$18+'Economic Assumptions'!$D$19)^(EV$6))</f>
        <v>#DIV/0!</v>
      </c>
      <c r="EW7" s="90" t="e">
        <f>IF(EW$6&gt;'Economic Assumptions'!$D$21,0,($CA7*'Economic Assumptions'!$D$16+$CB7*'Economic Assumptions'!$D$17)*(1+'Economic Assumptions'!$D$18+'Economic Assumptions'!$D$19)^(EW$6))</f>
        <v>#DIV/0!</v>
      </c>
      <c r="EX7" s="90" t="e">
        <f>IF(EX$6&gt;'Economic Assumptions'!$D$21,0,($CA7*'Economic Assumptions'!$D$16+$CB7*'Economic Assumptions'!$D$17)*(1+'Economic Assumptions'!$D$18+'Economic Assumptions'!$D$19)^(EX$6))</f>
        <v>#DIV/0!</v>
      </c>
      <c r="EY7" s="90" t="e">
        <f>IF(EY$6&gt;'Economic Assumptions'!$D$21,0,($CA7*'Economic Assumptions'!$D$16+$CB7*'Economic Assumptions'!$D$17)*(1+'Economic Assumptions'!$D$18+'Economic Assumptions'!$D$19)^(EY$6))</f>
        <v>#DIV/0!</v>
      </c>
      <c r="EZ7" s="90" t="e">
        <f>IF(EZ$6&gt;'Economic Assumptions'!$D$21,0,($CA7*'Economic Assumptions'!$D$16+$CB7*'Economic Assumptions'!$D$17)*(1+'Economic Assumptions'!$D$18+'Economic Assumptions'!$D$19)^(EZ$6))</f>
        <v>#DIV/0!</v>
      </c>
      <c r="FA7" s="90" t="e">
        <f>IF(FA$6&gt;'Economic Assumptions'!$D$21,0,($CA7*'Economic Assumptions'!$D$16+$CB7*'Economic Assumptions'!$D$17)*(1+'Economic Assumptions'!$D$18+'Economic Assumptions'!$D$19)^(FA$6))</f>
        <v>#DIV/0!</v>
      </c>
      <c r="FB7" s="90" t="e">
        <f>IF(FB$6&gt;'Economic Assumptions'!$D$21,0,($CA7*'Economic Assumptions'!$D$16+$CB7*'Economic Assumptions'!$D$17)*(1+'Economic Assumptions'!$D$18+'Economic Assumptions'!$D$19)^(FB$6))</f>
        <v>#DIV/0!</v>
      </c>
      <c r="FC7" s="90" t="e">
        <f>IF(FC$6&gt;'Economic Assumptions'!$D$21,0,($CA7*'Economic Assumptions'!$D$16+$CB7*'Economic Assumptions'!$D$17)*(1+'Economic Assumptions'!$D$18+'Economic Assumptions'!$D$19)^(FC$6))</f>
        <v>#DIV/0!</v>
      </c>
      <c r="FD7" s="90" t="e">
        <f>IF(FD$6&gt;'Economic Assumptions'!$D$21,0,($CA7*'Economic Assumptions'!$D$16+$CB7*'Economic Assumptions'!$D$17)*(1+'Economic Assumptions'!$D$18+'Economic Assumptions'!$D$19)^(FD$6))</f>
        <v>#DIV/0!</v>
      </c>
      <c r="FE7" s="90" t="e">
        <f>IF(FE$6&gt;'Economic Assumptions'!$D$21,0,($CA7*'Economic Assumptions'!$D$16+$CB7*'Economic Assumptions'!$D$17)*(1+'Economic Assumptions'!$D$18+'Economic Assumptions'!$D$19)^(FE$6))</f>
        <v>#DIV/0!</v>
      </c>
      <c r="FF7" s="90" t="e">
        <f>IF(FF$6&gt;'Economic Assumptions'!$D$21,0,($CA7*'Economic Assumptions'!$D$16+$CB7*'Economic Assumptions'!$D$17)*(1+'Economic Assumptions'!$D$18+'Economic Assumptions'!$D$19)^(FF$6))</f>
        <v>#DIV/0!</v>
      </c>
      <c r="FG7" s="90">
        <f>IF(FG$6&gt;'Economic Assumptions'!$D$21,0,($CA7*'Economic Assumptions'!$D$16+$CB7*'Economic Assumptions'!$D$17)*(1+'Economic Assumptions'!$D$18+'Economic Assumptions'!$D$19)^(FG$6))</f>
        <v>0</v>
      </c>
      <c r="FH7" s="90">
        <f>IF(FH$6&gt;'Economic Assumptions'!$D$21,0,($CA7*'Economic Assumptions'!$D$16+$CB7*'Economic Assumptions'!$D$17)*(1+'Economic Assumptions'!$D$18+'Economic Assumptions'!$D$19)^(FH$6))</f>
        <v>0</v>
      </c>
      <c r="FI7" s="90">
        <f>IF(FI$6&gt;'Economic Assumptions'!$D$21,0,($CA7*'Economic Assumptions'!$D$16+$CB7*'Economic Assumptions'!$D$17)*(1+'Economic Assumptions'!$D$18+'Economic Assumptions'!$D$19)^(FI$6))</f>
        <v>0</v>
      </c>
      <c r="FJ7" s="90">
        <f>IF(FJ$6&gt;'Economic Assumptions'!$D$21,0,($CA7*'Economic Assumptions'!$D$16+$CB7*'Economic Assumptions'!$D$17)*(1+'Economic Assumptions'!$D$18+'Economic Assumptions'!$D$19)^(FJ$6))</f>
        <v>0</v>
      </c>
      <c r="FK7" s="90">
        <f>IF(FK$6&gt;'Economic Assumptions'!$D$21,0,($CA7*'Economic Assumptions'!$D$16+$CB7*'Economic Assumptions'!$D$17)*(1+'Economic Assumptions'!$D$18+'Economic Assumptions'!$D$19)^(FK$6))</f>
        <v>0</v>
      </c>
      <c r="FL7" s="90">
        <f>IF(FL$6&gt;'Economic Assumptions'!$D$21,0,($CA7*'Economic Assumptions'!$D$16+$CB7*'Economic Assumptions'!$D$17)*(1+'Economic Assumptions'!$D$18+'Economic Assumptions'!$D$19)^(FL$6))</f>
        <v>0</v>
      </c>
      <c r="FM7" s="90">
        <f>IF(FM$6&gt;'Economic Assumptions'!$D$21,0,($CA7*'Economic Assumptions'!$D$16+$CB7*'Economic Assumptions'!$D$17)*(1+'Economic Assumptions'!$D$18+'Economic Assumptions'!$D$19)^(FM$6))</f>
        <v>0</v>
      </c>
      <c r="FN7" s="90">
        <f>IF(FN$6&gt;'Economic Assumptions'!$D$21,0,($CA7*'Economic Assumptions'!$D$16+$CB7*'Economic Assumptions'!$D$17)*(1+'Economic Assumptions'!$D$18+'Economic Assumptions'!$D$19)^(FN$6))</f>
        <v>0</v>
      </c>
      <c r="FO7" s="90">
        <f>IF(FO$6&gt;'Economic Assumptions'!$D$21,0,($CA7*'Economic Assumptions'!$D$16+$CB7*'Economic Assumptions'!$D$17)*(1+'Economic Assumptions'!$D$18+'Economic Assumptions'!$D$19)^(FO$6))</f>
        <v>0</v>
      </c>
      <c r="FP7" s="90">
        <f>IF(FP$6&gt;'Economic Assumptions'!$D$21,0,($CA7*'Economic Assumptions'!$D$16+$CB7*'Economic Assumptions'!$D$17)*(1+'Economic Assumptions'!$D$18+'Economic Assumptions'!$D$19)^(FP$6))</f>
        <v>0</v>
      </c>
    </row>
    <row r="8" spans="1:254">
      <c r="A8" s="104"/>
      <c r="B8" s="104">
        <v>2</v>
      </c>
      <c r="C8" s="177" t="b">
        <v>1</v>
      </c>
      <c r="D8" s="104"/>
      <c r="E8" s="73">
        <f>MROUND(D8,1)</f>
        <v>0</v>
      </c>
      <c r="F8" s="109" t="s">
        <v>141</v>
      </c>
      <c r="G8" s="110">
        <v>6</v>
      </c>
      <c r="H8" s="120">
        <f>IF(F8=$F$100,G8,F8)</f>
        <v>6</v>
      </c>
      <c r="I8" s="120" t="s">
        <v>141</v>
      </c>
      <c r="J8" s="183">
        <f>'System Assumptions'!$D$11</f>
        <v>2000</v>
      </c>
      <c r="K8" s="105" t="s">
        <v>119</v>
      </c>
      <c r="L8" s="158" t="str">
        <f>IF(K8=$K$101,"N/A",IF(BQ8&gt;(VLOOKUP(U8,Constants!$C$127:$D$141,2)),"YES","NO"))</f>
        <v>NO</v>
      </c>
      <c r="M8" s="66">
        <f>O8^3</f>
        <v>125000</v>
      </c>
      <c r="N8" s="66">
        <f>O8^2</f>
        <v>2500</v>
      </c>
      <c r="O8" s="66">
        <f>'System Assumptions'!$D$8</f>
        <v>50</v>
      </c>
      <c r="P8" s="66">
        <f>TREND(Constants!$K$38:$K$47,Constants!$H$38:$J$47,M8:O8)</f>
        <v>1.4249979974417602E-5</v>
      </c>
      <c r="Q8" s="105" t="s">
        <v>119</v>
      </c>
      <c r="R8" s="160" t="str">
        <f>IF(Q8=$Q$100,IF(BQ8&gt;VLOOKUP(J8*BT8,Constants!$L$127:$M$131,2,1),"YES","NO"),"N/A")</f>
        <v>NO</v>
      </c>
      <c r="S8" s="73">
        <f>IF(H8&gt;0,IF(H8&gt;Constants!$F$52,1,0),0)</f>
        <v>1</v>
      </c>
      <c r="T8" s="73">
        <f>IF(S8=0,Constants!$V$32,Constants!$W$32 )</f>
        <v>1.4999999999999999E-4</v>
      </c>
      <c r="U8" s="73">
        <f>IF(H8&gt;0,VLOOKUP(H8,PIPE_ID,IF(S8=0,2,3)),1)</f>
        <v>6.0650000000000004</v>
      </c>
      <c r="V8" s="73">
        <f>X8^3</f>
        <v>0</v>
      </c>
      <c r="W8" s="73">
        <f>X8^2</f>
        <v>0</v>
      </c>
      <c r="X8" s="73">
        <f>Y8/10000</f>
        <v>0</v>
      </c>
      <c r="Y8" s="73">
        <f xml:space="preserve"> U8/12 * BQ8 / P8</f>
        <v>0</v>
      </c>
      <c r="Z8" s="73">
        <f>T8/(U8/12)</f>
        <v>2.9678483099752673E-4</v>
      </c>
      <c r="AA8" s="73">
        <f>TREND(Constants!$AB$10:$AB$15,Constants!$Y$10:$AA$15,V8:X8)</f>
        <v>34.963423311998667</v>
      </c>
      <c r="AB8" s="73">
        <f>1/(1.14+2*LOG10(Z8))^2</f>
        <v>2.8580734136771244E-2</v>
      </c>
      <c r="AC8" s="73" t="e">
        <f>(2.457*LN(1/((7/Y8)^0.9+(0.27*Z8))))^16</f>
        <v>#DIV/0!</v>
      </c>
      <c r="AD8" s="73" t="e">
        <f>(37530/Y8)^16</f>
        <v>#DIV/0!</v>
      </c>
      <c r="AE8" s="73" t="e">
        <f>8*((8/Y8)^12+(1/(AC8+AD8))^(1.5))^(1/12)</f>
        <v>#DIV/0!</v>
      </c>
      <c r="AF8" s="73" t="str">
        <f>IF(Y8&lt;3000,"Laminar",IF(AND(Y8&gt;10000,Z8&gt;AA8),"Fully Rough","Partially Rough"))</f>
        <v>Laminar</v>
      </c>
      <c r="AG8" s="209" t="s">
        <v>142</v>
      </c>
      <c r="AH8" s="210">
        <f>IF(H8=0,"",IF(AG8='System Assumptions'!$N$12,0,IF(AG8='System Assumptions'!$I$12,VLOOKUP(O8,Constants!$O$99:$U$107,HLOOKUP(H8,Constants!$P$98:$U$99,2)),AG8)))</f>
        <v>1</v>
      </c>
      <c r="AI8" s="104"/>
      <c r="AJ8" s="104"/>
      <c r="AK8" s="104"/>
      <c r="AL8" s="104"/>
      <c r="AM8" s="104"/>
      <c r="AN8" s="104"/>
      <c r="AO8" s="73">
        <f>IF(AND(ISNUMBER(AP8),AP8&lt;&gt;9.99999999999999E+26),AN8,"N")</f>
        <v>0</v>
      </c>
      <c r="AP8" s="183">
        <f>IF(AN8&gt;0,CI8,0)</f>
        <v>0</v>
      </c>
      <c r="AQ8" s="104"/>
      <c r="AR8" s="73">
        <f>IF(AND(ISNUMBER(AS8),AS8&lt;&gt;9.99999999999999E+26),AQ8,"N")</f>
        <v>0</v>
      </c>
      <c r="AS8" s="183">
        <f>IF(AQ8&gt;0,CJ8,0)</f>
        <v>0</v>
      </c>
      <c r="AT8" s="104"/>
      <c r="AU8" s="73">
        <f>IF(AND(ISNUMBER(AV8),AV8&lt;&gt;9.99999999999999E+26),AT8,"N")</f>
        <v>0</v>
      </c>
      <c r="AV8" s="183">
        <f>IF(AT8&gt;0,CL8,0)</f>
        <v>0</v>
      </c>
      <c r="AW8" s="104"/>
      <c r="AX8" s="73">
        <f>IF(AND(ISNUMBER(AY8),AY8&lt;&gt;9.99999999999999E+26),AW8,"N")</f>
        <v>0</v>
      </c>
      <c r="AY8" s="183">
        <f>IF(AW8&gt;0,CL8,0)</f>
        <v>0</v>
      </c>
      <c r="AZ8" s="183">
        <f>IF(H8&lt;Constants!$F$53,0,1)</f>
        <v>1</v>
      </c>
      <c r="BA8" s="104"/>
      <c r="BB8" s="73">
        <f>IF(AND(ISNUMBER(BC8),BC8&lt;&gt;9.99999999999999E+26),BA8,"N")</f>
        <v>0</v>
      </c>
      <c r="BC8" s="183">
        <f>IF(BA8&gt;0,CM8,0)</f>
        <v>0</v>
      </c>
      <c r="BD8" s="104"/>
      <c r="BE8" s="73">
        <f>IF(AND(ISNUMBER(BF8),BF8&lt;&gt;999999999),BD8,"N")</f>
        <v>0</v>
      </c>
      <c r="BF8" s="183">
        <f>IF(BD8&gt;0,CN8,0)</f>
        <v>0</v>
      </c>
      <c r="BG8" s="104"/>
      <c r="BH8" s="73">
        <f>IF(AND(ISNUMBER(BI8),BI8&lt;&gt;999999999),BG8,"N")</f>
        <v>0</v>
      </c>
      <c r="BI8" s="183">
        <f>IF(BG8&gt;0,CO8,0)</f>
        <v>0</v>
      </c>
      <c r="BJ8" s="104"/>
      <c r="BK8" s="73">
        <f>BJ8</f>
        <v>0</v>
      </c>
      <c r="BL8" s="104"/>
      <c r="BM8" s="200">
        <f>BL8</f>
        <v>0</v>
      </c>
      <c r="BN8" s="125"/>
      <c r="BO8" s="480" t="e">
        <f>SUM(BL8,BJ8*2.31,(BR8*AI8/100),CQ8/0.433,CP8)</f>
        <v>#DIV/0!</v>
      </c>
      <c r="BP8" s="383" t="e">
        <f>BO8*0.433</f>
        <v>#DIV/0!</v>
      </c>
      <c r="BQ8" s="384">
        <f>(D8/U8^2)*(1.2835/PI())</f>
        <v>0</v>
      </c>
      <c r="BR8" s="385" t="e">
        <f>100 * AE8 / (U8/12) * BQ8^2 / 64.32</f>
        <v>#DIV/0!</v>
      </c>
      <c r="BS8" s="386">
        <f>AI8*(U8/2/12)^2*PI()*7.481</f>
        <v>0</v>
      </c>
      <c r="BT8" s="387">
        <f>'System Assumptions'!$D$10</f>
        <v>0.3</v>
      </c>
      <c r="BU8" s="388" t="e">
        <f>'Piping Circuit'!$B$3*BO8/(3960*Constants!$F$181)</f>
        <v>#DIV/0!</v>
      </c>
      <c r="BV8" s="388" t="e">
        <f>BU8*0.746/(Constants!$F$199*IF(OR(CONST_VAR_UI=Constants!$Q$161,CONST_VAR_UI='System Assumptions'!$L$9),Constants!$C$217,1))*BT8</f>
        <v>#DIV/0!</v>
      </c>
      <c r="BW8" s="388" t="e">
        <f>BU8*2545/12000*Constants!$C$215*BT8</f>
        <v>#DIV/0!</v>
      </c>
      <c r="BX8" s="388" t="e">
        <f>-BU8*2545/100000/Constants!$C$216*BT8</f>
        <v>#DIV/0!</v>
      </c>
      <c r="BY8" s="388" t="e">
        <f>BV8+IF('System Assumptions'!$D$7='System Assumptions'!$I$7,BW8,0)</f>
        <v>#DIV/0!</v>
      </c>
      <c r="BZ8" s="388">
        <f>IF('System Assumptions'!$D$7='System Assumptions'!$J$7,BX8,0)</f>
        <v>0</v>
      </c>
      <c r="CA8" s="389" t="e">
        <f>BY8*J8</f>
        <v>#DIV/0!</v>
      </c>
      <c r="CB8" s="388">
        <f>BZ8*J8</f>
        <v>0</v>
      </c>
      <c r="CC8" s="387"/>
      <c r="CD8" s="387">
        <f>VLOOKUP($H8,IF($S8=0,K_COPPER,K_STEEL),2)</f>
        <v>0.28999999999999998</v>
      </c>
      <c r="CE8" s="387">
        <f>VLOOKUP($H8,IF($S8=0,K_COPPER,K_STEEL),3)</f>
        <v>0.17</v>
      </c>
      <c r="CF8" s="387">
        <f>VLOOKUP($H8,IF($S8=0,K_COPPER,K_STEEL),4)</f>
        <v>0.12</v>
      </c>
      <c r="CG8" s="387">
        <f>VLOOKUP($H8,IF($S8=0,K_COPPER,K_STEEL),5)</f>
        <v>0.62</v>
      </c>
      <c r="CH8" s="387">
        <f>IF(AJ8&gt;0,CD8*AJ8,0)+IF(AK8&gt;0,CE8*AK8,0)+IF(AL8&gt;0,CF8*AL8,0)+IF(AM8&gt;0,CG8*AM8,0)</f>
        <v>0</v>
      </c>
      <c r="CI8" s="387">
        <f>VLOOKUP($H8,CV_VALVES,2)</f>
        <v>650</v>
      </c>
      <c r="CJ8" s="387">
        <f>VLOOKUP($H8,CV_VALVES,3)</f>
        <v>625</v>
      </c>
      <c r="CK8" s="387">
        <f>VLOOKUP($H8,CV_VALVES,4)</f>
        <v>1440</v>
      </c>
      <c r="CL8" s="387">
        <f>IF(AZ8=0,VLOOKUP($H8,CV_VALVES,5),VLOOKUP($H8,CV_VALVES,6))</f>
        <v>1613</v>
      </c>
      <c r="CM8" s="387">
        <f>VLOOKUP($H8,CV_VALVES,7)</f>
        <v>597</v>
      </c>
      <c r="CN8" s="387">
        <f>VLOOKUP($H8,CV_VALVES,8)</f>
        <v>520</v>
      </c>
      <c r="CO8" s="390">
        <f>VLOOKUP($H8,CV_VALVES,9)</f>
        <v>7.4</v>
      </c>
      <c r="CP8" s="387">
        <f>CH8*BQ8^2/(2*32.1)</f>
        <v>0</v>
      </c>
      <c r="CQ8" s="387">
        <f>IF(AN8&gt;0,($D8/CI8)^2,0)*AN8+IF(AQ8&gt;0,($D8/CJ8)^2,0)*AQ8+IF(AT8&gt;0,($D8/CK8)^2,0)*AT8+IF(AW8&gt;0,($D8/CL8)^2,0)*AW8+IF(BA8&gt;0,($D8/CM8)^2,0)*BA8+IF(BD8&gt;0,($D8/CN8)^2,0)*BD8+IF(BG8&gt;0,CO8,0)*BG8</f>
        <v>0</v>
      </c>
      <c r="CR8" s="387"/>
      <c r="CS8" s="387"/>
      <c r="CT8" s="391">
        <f>VLOOKUP($H8,IF($S8,PRICE_STEEL,PRICE_COPPER),2)*$AI8</f>
        <v>0</v>
      </c>
      <c r="CU8" s="391">
        <f>IF(AH8=0,0,VLOOKUP(H8,Constants!$B$97:$F$119,HLOOKUP(AH8,Constants!$C$96:$F$97,2))*$AI8)</f>
        <v>0</v>
      </c>
      <c r="CV8" s="391">
        <f>VLOOKUP($H8,IF($S8,PRICE_STEEL,PRICE_COPPER),Constants!$E$51)*AJ8</f>
        <v>0</v>
      </c>
      <c r="CW8" s="391">
        <f>VLOOKUP($H8,IF($S8,PRICE_STEEL,PRICE_COPPER),Constants!$G$51)*AK8</f>
        <v>0</v>
      </c>
      <c r="CX8" s="391">
        <f>VLOOKUP($H8,IF($S8,PRICE_STEEL,PRICE_COPPER),Constants!$I$51)*(AL8+AM8)</f>
        <v>0</v>
      </c>
      <c r="CY8" s="391">
        <f>IF(AN8=0,0,VLOOKUP($H8,IF($S8,PRICE_STEEL,PRICE_COPPER),Constants!K$51)*AN8)</f>
        <v>0</v>
      </c>
      <c r="CZ8" s="391">
        <f>IF(AQ8=0,0,VLOOKUP($H8,IF($S8,PRICE_STEEL,PRICE_COPPER),Constants!M$51)*AQ8)</f>
        <v>0</v>
      </c>
      <c r="DA8" s="391">
        <f>IF(AT8=0,0,VLOOKUP($H8,IF($S8,PRICE_STEEL,PRICE_COPPER),Constants!O$51)*AT8)</f>
        <v>0</v>
      </c>
      <c r="DB8" s="391">
        <f>IF(AW8=0,0,VLOOKUP($H8,IF($S8,PRICE_STEEL,PRICE_COPPER),IF(AZ8=0,Constants!Q$51,Constants!S$51))*AW8)</f>
        <v>0</v>
      </c>
      <c r="DC8" s="391">
        <f>IF(BA8=0,0,VLOOKUP($H8,IF($S8,PRICE_STEEL,PRICE_COPPER),Constants!U$51)*BA8)</f>
        <v>0</v>
      </c>
      <c r="DD8" s="391">
        <f>IF(BD8=0,0,VLOOKUP($H8,IF($S8,PRICE_STEEL,PRICE_COPPER),Constants!W$51)*BD8)</f>
        <v>0</v>
      </c>
      <c r="DE8" s="391">
        <f>IF(BG8=0,0,VLOOKUP($H8,IF($S8,PRICE_STEEL,PRICE_COPPER),Constants!Y$51)*BG8)</f>
        <v>0</v>
      </c>
      <c r="DF8" s="391"/>
      <c r="DG8" s="392">
        <f>VLOOKUP($H8,IF($S8,PRICE_STEEL,PRICE_COPPER),Constants!$D$51)*$AI8</f>
        <v>0</v>
      </c>
      <c r="DH8" s="392">
        <f>IF(AH8=0,0,VLOOKUP(H8,Constants!$I$97:$M$119,HLOOKUP(AH8,Constants!$J$96:$M$97,2))*$AI8)</f>
        <v>0</v>
      </c>
      <c r="DI8" s="392">
        <f>VLOOKUP($H8,IF($S8,PRICE_STEEL,PRICE_COPPER),Constants!$F$51)*AJ8</f>
        <v>0</v>
      </c>
      <c r="DJ8" s="392">
        <f>VLOOKUP($H8,IF($S8,PRICE_STEEL,PRICE_COPPER),Constants!$H$51)*AK8</f>
        <v>0</v>
      </c>
      <c r="DK8" s="392">
        <f>VLOOKUP($H8,IF($S8,PRICE_STEEL,PRICE_COPPER),Constants!$J$51)*(AL8+AM8)</f>
        <v>0</v>
      </c>
      <c r="DL8" s="392">
        <f>IF(AN8=0,0,VLOOKUP($H8,IF($S8,PRICE_STEEL,PRICE_COPPER),Constants!L$51)*AN8)</f>
        <v>0</v>
      </c>
      <c r="DM8" s="392">
        <f>IF(AQ8=0,0,VLOOKUP($H8,IF($S8,PRICE_STEEL,PRICE_COPPER),Constants!N$51)*AQ8)</f>
        <v>0</v>
      </c>
      <c r="DN8" s="392">
        <f>IF(AT8=0,0,VLOOKUP($H8,IF($S8,PRICE_STEEL,PRICE_COPPER),Constants!P$51)*AT8)</f>
        <v>0</v>
      </c>
      <c r="DO8" s="392">
        <f>IF(AW8=0,0,VLOOKUP($H8,IF($S8,PRICE_STEEL,PRICE_COPPER),IF(AZ8=0,Constants!R$51,Constants!T$51))*AW8)</f>
        <v>0</v>
      </c>
      <c r="DP8" s="392">
        <f>IF(BA8=0,0,VLOOKUP($H8,IF($S8,PRICE_STEEL,PRICE_COPPER),Constants!V$51)*BA8)</f>
        <v>0</v>
      </c>
      <c r="DQ8" s="392">
        <f>IF(BD8=0,0,VLOOKUP($H8,IF($S8,PRICE_STEEL,PRICE_COPPER),Constants!X$51)*BD8)</f>
        <v>0</v>
      </c>
      <c r="DR8" s="392">
        <f>IF(BG8=0,0,VLOOKUP($H8,IF($S8,PRICE_STEEL,PRICE_COPPER),Constants!Z$51)*BG8)</f>
        <v>0</v>
      </c>
      <c r="DS8" s="392"/>
      <c r="DT8" s="392"/>
      <c r="DU8" s="387"/>
      <c r="DV8" s="393">
        <f>'Economic Assumptions'!$D$7/100*SUM(CT8:DE8)*(1+'Economic Assumptions'!$D$14)^('Economic Assumptions'!$D$12-'Economic Assumptions'!$D$13)</f>
        <v>0</v>
      </c>
      <c r="DW8" s="393">
        <f>DV8*'Economic Assumptions'!$D$15</f>
        <v>0</v>
      </c>
      <c r="DX8" s="393">
        <f>'Economic Assumptions'!$D$8/100*SUM(DG8:DR8)*(1+'Economic Assumptions'!$D$14)^('Economic Assumptions'!$D$12-'Economic Assumptions'!$D$13)</f>
        <v>0</v>
      </c>
      <c r="DY8" s="393">
        <f>SUM(DV8:DX8)*((1+'Economic Assumptions'!$D$10)*(1+'Economic Assumptions'!$D$11)-1)</f>
        <v>0</v>
      </c>
      <c r="DZ8" s="393">
        <f>SUM(DV8:DY8)</f>
        <v>0</v>
      </c>
      <c r="EA8" s="393" t="e">
        <f>IF($H$3=$S$3,NPV(('Economic Assumptions'!$D$20),EC8:FP8),0)</f>
        <v>#DIV/0!</v>
      </c>
      <c r="EB8" s="394" t="e">
        <f>DZ8+IF($H$3=$S$3,EA8,0)</f>
        <v>#DIV/0!</v>
      </c>
      <c r="EC8" s="90" t="e">
        <f>IF(EC$6&gt;'Economic Assumptions'!$D$21,0,($CA8*'Economic Assumptions'!$D$16+$CB8*'Economic Assumptions'!$D$17)*(1+'Economic Assumptions'!$D$18+'Economic Assumptions'!$D$19)^(EC$6))</f>
        <v>#DIV/0!</v>
      </c>
      <c r="ED8" s="90" t="e">
        <f>IF(ED$6&gt;'Economic Assumptions'!$D$21,0,($CA8*'Economic Assumptions'!$D$16+$CB8*'Economic Assumptions'!$D$17)*(1+'Economic Assumptions'!$D$18+'Economic Assumptions'!$D$19)^(ED$6))</f>
        <v>#DIV/0!</v>
      </c>
      <c r="EE8" s="90" t="e">
        <f>IF(EE$6&gt;'Economic Assumptions'!$D$21,0,($CA8*'Economic Assumptions'!$D$16+$CB8*'Economic Assumptions'!$D$17)*(1+'Economic Assumptions'!$D$18+'Economic Assumptions'!$D$19)^(EE$6))</f>
        <v>#DIV/0!</v>
      </c>
      <c r="EF8" s="90" t="e">
        <f>IF(EF$6&gt;'Economic Assumptions'!$D$21,0,($CA8*'Economic Assumptions'!$D$16+$CB8*'Economic Assumptions'!$D$17)*(1+'Economic Assumptions'!$D$18+'Economic Assumptions'!$D$19)^(EF$6))</f>
        <v>#DIV/0!</v>
      </c>
      <c r="EG8" s="90" t="e">
        <f>IF(EG$6&gt;'Economic Assumptions'!$D$21,0,($CA8*'Economic Assumptions'!$D$16+$CB8*'Economic Assumptions'!$D$17)*(1+'Economic Assumptions'!$D$18+'Economic Assumptions'!$D$19)^(EG$6))</f>
        <v>#DIV/0!</v>
      </c>
      <c r="EH8" s="90" t="e">
        <f>IF(EH$6&gt;'Economic Assumptions'!$D$21,0,($CA8*'Economic Assumptions'!$D$16+$CB8*'Economic Assumptions'!$D$17)*(1+'Economic Assumptions'!$D$18+'Economic Assumptions'!$D$19)^(EH$6))</f>
        <v>#DIV/0!</v>
      </c>
      <c r="EI8" s="90" t="e">
        <f>IF(EI$6&gt;'Economic Assumptions'!$D$21,0,($CA8*'Economic Assumptions'!$D$16+$CB8*'Economic Assumptions'!$D$17)*(1+'Economic Assumptions'!$D$18+'Economic Assumptions'!$D$19)^(EI$6))</f>
        <v>#DIV/0!</v>
      </c>
      <c r="EJ8" s="90" t="e">
        <f>IF(EJ$6&gt;'Economic Assumptions'!$D$21,0,($CA8*'Economic Assumptions'!$D$16+$CB8*'Economic Assumptions'!$D$17)*(1+'Economic Assumptions'!$D$18+'Economic Assumptions'!$D$19)^(EJ$6))</f>
        <v>#DIV/0!</v>
      </c>
      <c r="EK8" s="90" t="e">
        <f>IF(EK$6&gt;'Economic Assumptions'!$D$21,0,($CA8*'Economic Assumptions'!$D$16+$CB8*'Economic Assumptions'!$D$17)*(1+'Economic Assumptions'!$D$18+'Economic Assumptions'!$D$19)^(EK$6))</f>
        <v>#DIV/0!</v>
      </c>
      <c r="EL8" s="90" t="e">
        <f>IF(EL$6&gt;'Economic Assumptions'!$D$21,0,($CA8*'Economic Assumptions'!$D$16+$CB8*'Economic Assumptions'!$D$17)*(1+'Economic Assumptions'!$D$18+'Economic Assumptions'!$D$19)^(EL$6))</f>
        <v>#DIV/0!</v>
      </c>
      <c r="EM8" s="90" t="e">
        <f>IF(EM$6&gt;'Economic Assumptions'!$D$21,0,($CA8*'Economic Assumptions'!$D$16+$CB8*'Economic Assumptions'!$D$17)*(1+'Economic Assumptions'!$D$18+'Economic Assumptions'!$D$19)^(EM$6))</f>
        <v>#DIV/0!</v>
      </c>
      <c r="EN8" s="90" t="e">
        <f>IF(EN$6&gt;'Economic Assumptions'!$D$21,0,($CA8*'Economic Assumptions'!$D$16+$CB8*'Economic Assumptions'!$D$17)*(1+'Economic Assumptions'!$D$18+'Economic Assumptions'!$D$19)^(EN$6))</f>
        <v>#DIV/0!</v>
      </c>
      <c r="EO8" s="90" t="e">
        <f>IF(EO$6&gt;'Economic Assumptions'!$D$21,0,($CA8*'Economic Assumptions'!$D$16+$CB8*'Economic Assumptions'!$D$17)*(1+'Economic Assumptions'!$D$18+'Economic Assumptions'!$D$19)^(EO$6))</f>
        <v>#DIV/0!</v>
      </c>
      <c r="EP8" s="90" t="e">
        <f>IF(EP$6&gt;'Economic Assumptions'!$D$21,0,($CA8*'Economic Assumptions'!$D$16+$CB8*'Economic Assumptions'!$D$17)*(1+'Economic Assumptions'!$D$18+'Economic Assumptions'!$D$19)^(EP$6))</f>
        <v>#DIV/0!</v>
      </c>
      <c r="EQ8" s="90" t="e">
        <f>IF(EQ$6&gt;'Economic Assumptions'!$D$21,0,($CA8*'Economic Assumptions'!$D$16+$CB8*'Economic Assumptions'!$D$17)*(1+'Economic Assumptions'!$D$18+'Economic Assumptions'!$D$19)^(EQ$6))</f>
        <v>#DIV/0!</v>
      </c>
      <c r="ER8" s="90" t="e">
        <f>IF(ER$6&gt;'Economic Assumptions'!$D$21,0,($CA8*'Economic Assumptions'!$D$16+$CB8*'Economic Assumptions'!$D$17)*(1+'Economic Assumptions'!$D$18+'Economic Assumptions'!$D$19)^(ER$6))</f>
        <v>#DIV/0!</v>
      </c>
      <c r="ES8" s="90" t="e">
        <f>IF(ES$6&gt;'Economic Assumptions'!$D$21,0,($CA8*'Economic Assumptions'!$D$16+$CB8*'Economic Assumptions'!$D$17)*(1+'Economic Assumptions'!$D$18+'Economic Assumptions'!$D$19)^(ES$6))</f>
        <v>#DIV/0!</v>
      </c>
      <c r="ET8" s="90" t="e">
        <f>IF(ET$6&gt;'Economic Assumptions'!$D$21,0,($CA8*'Economic Assumptions'!$D$16+$CB8*'Economic Assumptions'!$D$17)*(1+'Economic Assumptions'!$D$18+'Economic Assumptions'!$D$19)^(ET$6))</f>
        <v>#DIV/0!</v>
      </c>
      <c r="EU8" s="90" t="e">
        <f>IF(EU$6&gt;'Economic Assumptions'!$D$21,0,($CA8*'Economic Assumptions'!$D$16+$CB8*'Economic Assumptions'!$D$17)*(1+'Economic Assumptions'!$D$18+'Economic Assumptions'!$D$19)^(EU$6))</f>
        <v>#DIV/0!</v>
      </c>
      <c r="EV8" s="90" t="e">
        <f>IF(EV$6&gt;'Economic Assumptions'!$D$21,0,($CA8*'Economic Assumptions'!$D$16+$CB8*'Economic Assumptions'!$D$17)*(1+'Economic Assumptions'!$D$18+'Economic Assumptions'!$D$19)^(EV$6))</f>
        <v>#DIV/0!</v>
      </c>
      <c r="EW8" s="90" t="e">
        <f>IF(EW$6&gt;'Economic Assumptions'!$D$21,0,($CA8*'Economic Assumptions'!$D$16+$CB8*'Economic Assumptions'!$D$17)*(1+'Economic Assumptions'!$D$18+'Economic Assumptions'!$D$19)^(EW$6))</f>
        <v>#DIV/0!</v>
      </c>
      <c r="EX8" s="90" t="e">
        <f>IF(EX$6&gt;'Economic Assumptions'!$D$21,0,($CA8*'Economic Assumptions'!$D$16+$CB8*'Economic Assumptions'!$D$17)*(1+'Economic Assumptions'!$D$18+'Economic Assumptions'!$D$19)^(EX$6))</f>
        <v>#DIV/0!</v>
      </c>
      <c r="EY8" s="90" t="e">
        <f>IF(EY$6&gt;'Economic Assumptions'!$D$21,0,($CA8*'Economic Assumptions'!$D$16+$CB8*'Economic Assumptions'!$D$17)*(1+'Economic Assumptions'!$D$18+'Economic Assumptions'!$D$19)^(EY$6))</f>
        <v>#DIV/0!</v>
      </c>
      <c r="EZ8" s="90" t="e">
        <f>IF(EZ$6&gt;'Economic Assumptions'!$D$21,0,($CA8*'Economic Assumptions'!$D$16+$CB8*'Economic Assumptions'!$D$17)*(1+'Economic Assumptions'!$D$18+'Economic Assumptions'!$D$19)^(EZ$6))</f>
        <v>#DIV/0!</v>
      </c>
      <c r="FA8" s="90" t="e">
        <f>IF(FA$6&gt;'Economic Assumptions'!$D$21,0,($CA8*'Economic Assumptions'!$D$16+$CB8*'Economic Assumptions'!$D$17)*(1+'Economic Assumptions'!$D$18+'Economic Assumptions'!$D$19)^(FA$6))</f>
        <v>#DIV/0!</v>
      </c>
      <c r="FB8" s="90" t="e">
        <f>IF(FB$6&gt;'Economic Assumptions'!$D$21,0,($CA8*'Economic Assumptions'!$D$16+$CB8*'Economic Assumptions'!$D$17)*(1+'Economic Assumptions'!$D$18+'Economic Assumptions'!$D$19)^(FB$6))</f>
        <v>#DIV/0!</v>
      </c>
      <c r="FC8" s="90" t="e">
        <f>IF(FC$6&gt;'Economic Assumptions'!$D$21,0,($CA8*'Economic Assumptions'!$D$16+$CB8*'Economic Assumptions'!$D$17)*(1+'Economic Assumptions'!$D$18+'Economic Assumptions'!$D$19)^(FC$6))</f>
        <v>#DIV/0!</v>
      </c>
      <c r="FD8" s="90" t="e">
        <f>IF(FD$6&gt;'Economic Assumptions'!$D$21,0,($CA8*'Economic Assumptions'!$D$16+$CB8*'Economic Assumptions'!$D$17)*(1+'Economic Assumptions'!$D$18+'Economic Assumptions'!$D$19)^(FD$6))</f>
        <v>#DIV/0!</v>
      </c>
      <c r="FE8" s="90" t="e">
        <f>IF(FE$6&gt;'Economic Assumptions'!$D$21,0,($CA8*'Economic Assumptions'!$D$16+$CB8*'Economic Assumptions'!$D$17)*(1+'Economic Assumptions'!$D$18+'Economic Assumptions'!$D$19)^(FE$6))</f>
        <v>#DIV/0!</v>
      </c>
      <c r="FF8" s="90" t="e">
        <f>IF(FF$6&gt;'Economic Assumptions'!$D$21,0,($CA8*'Economic Assumptions'!$D$16+$CB8*'Economic Assumptions'!$D$17)*(1+'Economic Assumptions'!$D$18+'Economic Assumptions'!$D$19)^(FF$6))</f>
        <v>#DIV/0!</v>
      </c>
      <c r="FG8" s="90">
        <f>IF(FG$6&gt;'Economic Assumptions'!$D$21,0,($CA8*'Economic Assumptions'!$D$16+$CB8*'Economic Assumptions'!$D$17)*(1+'Economic Assumptions'!$D$18+'Economic Assumptions'!$D$19)^(FG$6))</f>
        <v>0</v>
      </c>
      <c r="FH8" s="90">
        <f>IF(FH$6&gt;'Economic Assumptions'!$D$21,0,($CA8*'Economic Assumptions'!$D$16+$CB8*'Economic Assumptions'!$D$17)*(1+'Economic Assumptions'!$D$18+'Economic Assumptions'!$D$19)^(FH$6))</f>
        <v>0</v>
      </c>
      <c r="FI8" s="90">
        <f>IF(FI$6&gt;'Economic Assumptions'!$D$21,0,($CA8*'Economic Assumptions'!$D$16+$CB8*'Economic Assumptions'!$D$17)*(1+'Economic Assumptions'!$D$18+'Economic Assumptions'!$D$19)^(FI$6))</f>
        <v>0</v>
      </c>
      <c r="FJ8" s="90">
        <f>IF(FJ$6&gt;'Economic Assumptions'!$D$21,0,($CA8*'Economic Assumptions'!$D$16+$CB8*'Economic Assumptions'!$D$17)*(1+'Economic Assumptions'!$D$18+'Economic Assumptions'!$D$19)^(FJ$6))</f>
        <v>0</v>
      </c>
      <c r="FK8" s="90">
        <f>IF(FK$6&gt;'Economic Assumptions'!$D$21,0,($CA8*'Economic Assumptions'!$D$16+$CB8*'Economic Assumptions'!$D$17)*(1+'Economic Assumptions'!$D$18+'Economic Assumptions'!$D$19)^(FK$6))</f>
        <v>0</v>
      </c>
      <c r="FL8" s="90">
        <f>IF(FL$6&gt;'Economic Assumptions'!$D$21,0,($CA8*'Economic Assumptions'!$D$16+$CB8*'Economic Assumptions'!$D$17)*(1+'Economic Assumptions'!$D$18+'Economic Assumptions'!$D$19)^(FL$6))</f>
        <v>0</v>
      </c>
      <c r="FM8" s="90">
        <f>IF(FM$6&gt;'Economic Assumptions'!$D$21,0,($CA8*'Economic Assumptions'!$D$16+$CB8*'Economic Assumptions'!$D$17)*(1+'Economic Assumptions'!$D$18+'Economic Assumptions'!$D$19)^(FM$6))</f>
        <v>0</v>
      </c>
      <c r="FN8" s="90">
        <f>IF(FN$6&gt;'Economic Assumptions'!$D$21,0,($CA8*'Economic Assumptions'!$D$16+$CB8*'Economic Assumptions'!$D$17)*(1+'Economic Assumptions'!$D$18+'Economic Assumptions'!$D$19)^(FN$6))</f>
        <v>0</v>
      </c>
      <c r="FO8" s="90">
        <f>IF(FO$6&gt;'Economic Assumptions'!$D$21,0,($CA8*'Economic Assumptions'!$D$16+$CB8*'Economic Assumptions'!$D$17)*(1+'Economic Assumptions'!$D$18+'Economic Assumptions'!$D$19)^(FO$6))</f>
        <v>0</v>
      </c>
      <c r="FP8" s="90">
        <f>IF(FP$6&gt;'Economic Assumptions'!$D$21,0,($CA8*'Economic Assumptions'!$D$16+$CB8*'Economic Assumptions'!$D$17)*(1+'Economic Assumptions'!$D$18+'Economic Assumptions'!$D$19)^(FP$6))</f>
        <v>0</v>
      </c>
    </row>
    <row r="9" spans="1:254" s="178" customFormat="1" ht="12.75" customHeight="1" thickBot="1">
      <c r="A9" s="182"/>
      <c r="E9" s="179"/>
      <c r="F9" s="182"/>
      <c r="H9" s="316"/>
      <c r="I9" s="316"/>
      <c r="K9" s="351"/>
      <c r="L9" s="179"/>
      <c r="S9" s="179"/>
      <c r="T9" s="179"/>
      <c r="U9" s="179"/>
      <c r="V9" s="179"/>
      <c r="W9" s="179"/>
      <c r="X9" s="179"/>
      <c r="Y9" s="179"/>
      <c r="Z9" s="179"/>
      <c r="AA9" s="179"/>
      <c r="AB9" s="179"/>
      <c r="AC9" s="179"/>
      <c r="AD9" s="179"/>
      <c r="AE9" s="179"/>
      <c r="AF9" s="179"/>
      <c r="AG9" s="351"/>
      <c r="AH9" s="351"/>
      <c r="AX9" s="179"/>
      <c r="BL9" s="182" t="s">
        <v>254</v>
      </c>
      <c r="BN9" s="179"/>
      <c r="BO9" s="481" t="e">
        <f>SUM(BO7:BO8)</f>
        <v>#DIV/0!</v>
      </c>
      <c r="BP9" s="395" t="e">
        <f>BO9*0.433</f>
        <v>#DIV/0!</v>
      </c>
      <c r="BQ9" s="356"/>
      <c r="BR9" s="356"/>
      <c r="BS9" s="397">
        <f>SUM(BS7:BS8)</f>
        <v>0</v>
      </c>
      <c r="BT9" s="179"/>
      <c r="BU9" s="398" t="e">
        <f>SUM(BU7:BU8)</f>
        <v>#DIV/0!</v>
      </c>
      <c r="BW9" s="179"/>
      <c r="BX9" s="179"/>
      <c r="BY9" s="365" t="s">
        <v>264</v>
      </c>
      <c r="BZ9" s="179"/>
      <c r="CA9" s="179"/>
      <c r="CB9" s="179"/>
      <c r="CC9" s="179"/>
      <c r="CD9" s="179"/>
      <c r="CE9" s="179"/>
      <c r="CF9" s="179"/>
      <c r="CG9" s="179"/>
      <c r="CH9" s="179"/>
      <c r="CI9" s="179"/>
      <c r="CJ9" s="179"/>
      <c r="CK9" s="179"/>
      <c r="CL9" s="179"/>
      <c r="CM9" s="179"/>
      <c r="CN9" s="179"/>
      <c r="CO9" s="179"/>
      <c r="CP9" s="179"/>
      <c r="CQ9" s="179"/>
      <c r="CR9" s="354" t="e">
        <f>VLOOKUP(BHP_TOTAL_W_SF*1.1,Constants!$W$98:$AC$120,2)</f>
        <v>#DIV/0!</v>
      </c>
      <c r="CS9" s="354" t="e">
        <f>IF(OR(CONST_VAR_UI='System Assumptions'!$K$9,CONST_VAR_UI='System Assumptions'!$L$9),VLOOKUP(BHP_TOTAL_W_SF,Constants!$W$98:$AC$120,5),0)</f>
        <v>#DIV/0!</v>
      </c>
      <c r="CT9" s="359"/>
      <c r="CU9" s="359"/>
      <c r="CV9" s="359"/>
      <c r="CW9" s="359"/>
      <c r="CX9" s="359"/>
      <c r="CY9" s="179"/>
      <c r="CZ9" s="179"/>
      <c r="DA9" s="179"/>
      <c r="DB9" s="179"/>
      <c r="DC9" s="179"/>
      <c r="DD9" s="179"/>
      <c r="DE9" s="179"/>
      <c r="DF9" s="179"/>
      <c r="DG9" s="359"/>
      <c r="DH9" s="359"/>
      <c r="DI9" s="359"/>
      <c r="DJ9" s="359"/>
      <c r="DK9" s="359"/>
      <c r="DL9" s="179"/>
      <c r="DM9" s="179"/>
      <c r="DN9" s="179"/>
      <c r="DO9" s="179"/>
      <c r="DP9" s="179"/>
      <c r="DQ9" s="179"/>
      <c r="DR9" s="179"/>
      <c r="DS9" s="458" t="e">
        <f>VLOOKUP(BHP_TOTAL_W_SF*1.1,Constants!$W$98:$AC$120,3)</f>
        <v>#DIV/0!</v>
      </c>
      <c r="DT9" s="458" t="e">
        <f>IF(OR(CONST_VAR_UI='System Assumptions'!$K$9,CONST_VAR_UI='System Assumptions'!$L$9),VLOOKUP(BHP_TOTAL_W_SF,Constants!$W$98:$AC$120,6),0)</f>
        <v>#DIV/0!</v>
      </c>
      <c r="DU9" s="179"/>
      <c r="DV9" s="360" t="e">
        <f>(CR9+CS9)*(1+'Economic Assumptions'!$D$14)^('Economic Assumptions'!$D$12-'Economic Assumptions'!$D$13)</f>
        <v>#DIV/0!</v>
      </c>
      <c r="DW9" s="360" t="e">
        <f>DV9*'Economic Assumptions'!$D$15</f>
        <v>#DIV/0!</v>
      </c>
      <c r="DX9" s="360" t="e">
        <f>(DS9+DT9)*(1+'Economic Assumptions'!$D$14)^('Economic Assumptions'!$D$12-'Economic Assumptions'!$D$13)</f>
        <v>#DIV/0!</v>
      </c>
      <c r="DY9" s="360" t="e">
        <f>SUM(DV9:DX9)*((1+'Economic Assumptions'!$D$10)*(1+'Economic Assumptions'!$D$11)-1)</f>
        <v>#DIV/0!</v>
      </c>
      <c r="DZ9" s="400" t="e">
        <f>SUM(DZ7:DZ8)+SUM(DV9:DY9)</f>
        <v>#DIV/0!</v>
      </c>
      <c r="EA9" s="401" t="e">
        <f>SUM(EA7:EA8)</f>
        <v>#DIV/0!</v>
      </c>
      <c r="EB9" s="402" t="e">
        <f>SUM(DZ9:EA9)</f>
        <v>#DIV/0!</v>
      </c>
      <c r="EC9" s="355"/>
      <c r="ED9" s="355"/>
      <c r="EE9" s="355"/>
      <c r="EF9" s="355"/>
      <c r="EG9" s="355"/>
      <c r="EH9" s="355"/>
      <c r="EI9" s="355"/>
      <c r="EJ9" s="355"/>
      <c r="EK9" s="355"/>
      <c r="EL9" s="355"/>
      <c r="EM9" s="355"/>
      <c r="EN9" s="355"/>
      <c r="EO9" s="355"/>
      <c r="EP9" s="355"/>
      <c r="EQ9" s="355"/>
      <c r="ER9" s="355"/>
      <c r="ES9" s="355"/>
      <c r="ET9" s="355"/>
      <c r="EU9" s="355"/>
      <c r="EV9" s="355"/>
      <c r="EW9" s="355"/>
      <c r="EX9" s="355"/>
      <c r="EY9" s="355"/>
      <c r="EZ9" s="355"/>
      <c r="FA9" s="355"/>
      <c r="FB9" s="355"/>
      <c r="FC9" s="355"/>
      <c r="FD9" s="355"/>
      <c r="FE9" s="355"/>
      <c r="FF9" s="355"/>
      <c r="FG9" s="355"/>
      <c r="FH9" s="355"/>
      <c r="FI9" s="355"/>
      <c r="FJ9" s="355"/>
      <c r="FK9" s="355"/>
      <c r="FL9" s="355"/>
      <c r="FM9" s="355"/>
      <c r="FN9" s="355"/>
      <c r="FO9" s="355"/>
      <c r="FP9" s="355"/>
    </row>
    <row r="10" spans="1:254" s="161" customFormat="1" ht="13.5" thickBot="1">
      <c r="A10" s="262"/>
      <c r="B10" s="179"/>
      <c r="C10" s="179"/>
      <c r="D10" s="179"/>
      <c r="E10" s="179"/>
      <c r="F10" s="262"/>
      <c r="G10" s="179"/>
      <c r="H10" s="357"/>
      <c r="I10" s="357"/>
      <c r="J10" s="179"/>
      <c r="K10" s="358"/>
      <c r="L10" s="179"/>
      <c r="M10" s="179"/>
      <c r="N10" s="179"/>
      <c r="O10" s="179"/>
      <c r="P10" s="179"/>
      <c r="Q10" s="179"/>
      <c r="R10" s="179"/>
      <c r="S10" s="179"/>
      <c r="T10" s="179"/>
      <c r="U10" s="179"/>
      <c r="V10" s="179"/>
      <c r="W10" s="179"/>
      <c r="X10" s="179"/>
      <c r="Y10" s="179"/>
      <c r="Z10" s="179"/>
      <c r="AA10" s="179"/>
      <c r="AB10" s="179"/>
      <c r="AC10" s="179"/>
      <c r="AD10" s="179"/>
      <c r="AE10" s="179"/>
      <c r="AF10" s="179"/>
      <c r="AG10" s="358"/>
      <c r="AH10" s="358"/>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99"/>
      <c r="BN10" s="179" t="s">
        <v>253</v>
      </c>
      <c r="BO10" s="396" t="e">
        <f>MAX('System Assumptions'!$D$16,0.01*'System Assumptions'!$D$15*BO9)</f>
        <v>#DIV/0!</v>
      </c>
      <c r="BP10" s="362"/>
      <c r="BQ10" s="363" t="s">
        <v>252</v>
      </c>
      <c r="BR10" s="170"/>
      <c r="BS10" s="170"/>
      <c r="BT10" s="179"/>
      <c r="BU10" s="399" t="e">
        <f>BO11*SYSTEM_GPM/3960/Constants!$F$181</f>
        <v>#DIV/0!</v>
      </c>
      <c r="BW10" s="179"/>
      <c r="BX10" s="179"/>
      <c r="BY10" s="365" t="s">
        <v>265</v>
      </c>
      <c r="BZ10" s="179"/>
      <c r="CA10" s="179"/>
      <c r="CB10" s="179"/>
      <c r="CC10" s="179"/>
      <c r="CD10" s="179"/>
      <c r="CE10" s="179"/>
      <c r="CF10" s="179"/>
      <c r="CG10" s="179"/>
      <c r="CH10" s="179"/>
      <c r="CI10" s="179"/>
      <c r="CJ10" s="179"/>
      <c r="CK10" s="179"/>
      <c r="CL10" s="179"/>
      <c r="CM10" s="179"/>
      <c r="CN10" s="179"/>
      <c r="CO10" s="179"/>
      <c r="CP10" s="179"/>
      <c r="CQ10" s="179"/>
      <c r="CR10" s="179"/>
      <c r="CS10" s="179"/>
      <c r="CT10" s="359"/>
      <c r="CU10" s="359"/>
      <c r="CV10" s="359"/>
      <c r="CW10" s="359"/>
      <c r="CX10" s="359"/>
      <c r="CY10" s="179"/>
      <c r="CZ10" s="179"/>
      <c r="DA10" s="179"/>
      <c r="DB10" s="179"/>
      <c r="DC10" s="179"/>
      <c r="DD10" s="179"/>
      <c r="DE10" s="179"/>
      <c r="DF10" s="179"/>
      <c r="DG10" s="359"/>
      <c r="DH10" s="359"/>
      <c r="DI10" s="359"/>
      <c r="DJ10" s="359"/>
      <c r="DK10" s="359"/>
      <c r="DL10" s="179"/>
      <c r="DM10" s="179"/>
      <c r="DN10" s="179"/>
      <c r="DO10" s="179"/>
      <c r="DP10" s="179"/>
      <c r="DQ10" s="179"/>
      <c r="DR10" s="179"/>
      <c r="DS10" s="179"/>
      <c r="DT10" s="179"/>
      <c r="DU10" s="179"/>
      <c r="DV10" s="360"/>
      <c r="DW10" s="360"/>
      <c r="DX10" s="360"/>
      <c r="DY10" s="360"/>
      <c r="DZ10" s="360"/>
      <c r="EA10" s="360"/>
      <c r="EB10" s="36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row>
    <row r="11" spans="1:254" s="161" customFormat="1" ht="13.5" thickBot="1">
      <c r="A11" s="478" t="s">
        <v>163</v>
      </c>
      <c r="B11" s="479"/>
      <c r="C11" s="161" t="s">
        <v>283</v>
      </c>
      <c r="E11" s="159"/>
      <c r="F11" s="182"/>
      <c r="H11" s="121"/>
      <c r="I11" s="121"/>
      <c r="K11" s="175"/>
      <c r="L11" s="159"/>
      <c r="S11" s="159"/>
      <c r="T11" s="159"/>
      <c r="U11" s="159"/>
      <c r="V11" s="159"/>
      <c r="W11" s="159"/>
      <c r="X11" s="159"/>
      <c r="Y11" s="159"/>
      <c r="Z11" s="159"/>
      <c r="AA11" s="159"/>
      <c r="AB11" s="159"/>
      <c r="AC11" s="159"/>
      <c r="AD11" s="159"/>
      <c r="AE11" s="159"/>
      <c r="AF11" s="159"/>
      <c r="AG11" s="175"/>
      <c r="AH11" s="175"/>
      <c r="BN11" s="159"/>
      <c r="BO11" s="482" t="e">
        <f>SUM(BO9:BO10)</f>
        <v>#DIV/0!</v>
      </c>
      <c r="BP11" s="170"/>
      <c r="BQ11" s="170"/>
      <c r="BR11" s="170"/>
      <c r="BS11" s="170"/>
      <c r="CT11" s="171"/>
      <c r="CU11" s="171"/>
      <c r="CV11" s="171"/>
      <c r="CW11" s="171"/>
      <c r="CX11" s="171"/>
      <c r="DG11" s="171"/>
      <c r="DH11" s="171"/>
      <c r="DI11" s="171"/>
      <c r="DJ11" s="171"/>
      <c r="DK11" s="171"/>
      <c r="DV11" s="409"/>
      <c r="DW11" s="172"/>
      <c r="DX11" s="172"/>
      <c r="DY11" s="172"/>
      <c r="DZ11" s="172"/>
      <c r="EA11" s="172"/>
      <c r="EB11" s="173"/>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c r="IR11" s="178"/>
      <c r="IS11" s="178"/>
      <c r="IT11" s="178"/>
    </row>
    <row r="12" spans="1:254" s="161" customFormat="1" ht="13.5" thickBot="1">
      <c r="E12" s="159"/>
      <c r="F12" s="182"/>
      <c r="H12" s="121"/>
      <c r="I12" s="121"/>
      <c r="K12" s="175"/>
      <c r="L12" s="159"/>
      <c r="S12" s="159"/>
      <c r="T12" s="159"/>
      <c r="U12" s="159"/>
      <c r="V12" s="159"/>
      <c r="W12" s="159"/>
      <c r="X12" s="159"/>
      <c r="Y12" s="159"/>
      <c r="Z12" s="159"/>
      <c r="AA12" s="159"/>
      <c r="AB12" s="159"/>
      <c r="AC12" s="159"/>
      <c r="AD12" s="159"/>
      <c r="AE12" s="159"/>
      <c r="AF12" s="159"/>
      <c r="AG12" s="175"/>
      <c r="AH12" s="175"/>
      <c r="BN12" s="159"/>
      <c r="BO12" s="356"/>
      <c r="BP12" s="170"/>
      <c r="BQ12" s="170"/>
      <c r="BR12" s="170"/>
      <c r="BS12" s="170"/>
      <c r="CT12" s="171"/>
      <c r="CU12" s="171"/>
      <c r="CV12" s="171"/>
      <c r="CW12" s="171"/>
      <c r="CX12" s="171"/>
      <c r="DG12" s="171"/>
      <c r="DH12" s="171"/>
      <c r="DI12" s="171"/>
      <c r="DJ12" s="171"/>
      <c r="DK12" s="171"/>
      <c r="DV12" s="409"/>
      <c r="DW12" s="172"/>
      <c r="DX12" s="172"/>
      <c r="DY12" s="172"/>
      <c r="DZ12" s="172"/>
      <c r="EA12" s="172"/>
      <c r="EB12" s="173"/>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c r="IR12" s="178"/>
      <c r="IS12" s="178"/>
      <c r="IT12" s="178"/>
    </row>
    <row r="13" spans="1:254" s="161" customFormat="1">
      <c r="A13" s="472" t="s">
        <v>164</v>
      </c>
      <c r="B13" s="473" t="e">
        <f>BO9</f>
        <v>#DIV/0!</v>
      </c>
      <c r="C13" s="179"/>
      <c r="E13" s="159"/>
      <c r="F13" s="182"/>
      <c r="H13" s="121"/>
      <c r="I13" s="121"/>
      <c r="K13" s="175"/>
      <c r="L13" s="159"/>
      <c r="S13" s="159"/>
      <c r="T13" s="159"/>
      <c r="U13" s="159"/>
      <c r="V13" s="159"/>
      <c r="W13" s="159"/>
      <c r="X13" s="159"/>
      <c r="Y13" s="159"/>
      <c r="Z13" s="159"/>
      <c r="AA13" s="159"/>
      <c r="AB13" s="159"/>
      <c r="AC13" s="159"/>
      <c r="AD13" s="159"/>
      <c r="AE13" s="159"/>
      <c r="AF13" s="159"/>
      <c r="AG13" s="175"/>
      <c r="AH13" s="175"/>
      <c r="BN13" s="159"/>
      <c r="BO13" s="169"/>
      <c r="BP13" s="170"/>
      <c r="BQ13" s="170"/>
      <c r="BR13" s="170"/>
      <c r="BS13" s="170"/>
      <c r="CT13" s="171"/>
      <c r="CU13" s="171"/>
      <c r="CV13" s="171"/>
      <c r="CW13" s="171"/>
      <c r="CX13" s="171"/>
      <c r="DG13" s="171"/>
      <c r="DH13" s="171"/>
      <c r="DI13" s="171"/>
      <c r="DJ13" s="171"/>
      <c r="DK13" s="171"/>
      <c r="DV13" s="212"/>
      <c r="DW13" s="212"/>
      <c r="DX13" s="172"/>
      <c r="DY13" s="172"/>
      <c r="DZ13" s="172"/>
      <c r="EA13" s="172"/>
      <c r="EB13" s="173"/>
      <c r="EC13" s="47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c r="IP13" s="178"/>
      <c r="IQ13" s="178"/>
      <c r="IR13" s="178"/>
      <c r="IS13" s="178"/>
      <c r="IT13" s="178"/>
    </row>
    <row r="14" spans="1:254" s="161" customFormat="1" ht="13.5" thickBot="1">
      <c r="A14" s="474" t="s">
        <v>282</v>
      </c>
      <c r="B14" s="475" t="e">
        <f>BO11</f>
        <v>#DIV/0!</v>
      </c>
      <c r="C14" s="410"/>
      <c r="D14" s="159"/>
      <c r="E14" s="159"/>
      <c r="F14" s="182"/>
      <c r="H14" s="121"/>
      <c r="I14" s="121"/>
      <c r="K14" s="175"/>
      <c r="L14" s="159"/>
      <c r="S14" s="159"/>
      <c r="T14" s="159"/>
      <c r="U14" s="159"/>
      <c r="V14" s="159"/>
      <c r="W14" s="159"/>
      <c r="X14" s="159"/>
      <c r="Y14" s="159"/>
      <c r="Z14" s="159"/>
      <c r="AA14" s="159"/>
      <c r="AB14" s="159"/>
      <c r="AC14" s="159"/>
      <c r="AD14" s="159"/>
      <c r="AE14" s="159"/>
      <c r="AF14" s="159"/>
      <c r="AG14" s="175"/>
      <c r="AH14" s="175"/>
      <c r="BN14" s="159"/>
      <c r="BO14" s="169"/>
      <c r="BP14" s="170"/>
      <c r="BQ14" s="170"/>
      <c r="BR14" s="170"/>
      <c r="BS14" s="170"/>
      <c r="CT14" s="171"/>
      <c r="CU14" s="171"/>
      <c r="CV14" s="171"/>
      <c r="CW14" s="171"/>
      <c r="CX14" s="171"/>
      <c r="DG14" s="171"/>
      <c r="DH14" s="171"/>
      <c r="DI14" s="171"/>
      <c r="DJ14" s="171"/>
      <c r="DK14" s="171"/>
      <c r="DV14" s="212"/>
      <c r="DW14" s="212"/>
      <c r="DX14" s="172"/>
      <c r="DY14" s="172"/>
      <c r="DZ14" s="172"/>
      <c r="EA14" s="172"/>
      <c r="EB14" s="173"/>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c r="IP14" s="178"/>
      <c r="IQ14" s="178"/>
      <c r="IR14" s="178"/>
      <c r="IS14" s="178"/>
      <c r="IT14" s="178"/>
    </row>
    <row r="15" spans="1:254" s="161" customFormat="1" ht="13.5" thickBot="1">
      <c r="C15" s="410"/>
      <c r="D15" s="159"/>
      <c r="E15" s="159"/>
      <c r="F15" s="182"/>
      <c r="H15" s="121"/>
      <c r="I15" s="121"/>
      <c r="K15" s="175"/>
      <c r="L15" s="159"/>
      <c r="S15" s="159"/>
      <c r="T15" s="159"/>
      <c r="U15" s="159"/>
      <c r="V15" s="159"/>
      <c r="W15" s="159"/>
      <c r="X15" s="159"/>
      <c r="Y15" s="159"/>
      <c r="Z15" s="159"/>
      <c r="AA15" s="159"/>
      <c r="AB15" s="159"/>
      <c r="AC15" s="159"/>
      <c r="AD15" s="159"/>
      <c r="AE15" s="159"/>
      <c r="AF15" s="159"/>
      <c r="AG15" s="175"/>
      <c r="AH15" s="175"/>
      <c r="BN15" s="159"/>
      <c r="BO15" s="169"/>
      <c r="BP15" s="170"/>
      <c r="BQ15" s="170"/>
      <c r="BR15" s="170"/>
      <c r="BS15" s="170"/>
      <c r="CT15" s="171"/>
      <c r="CU15" s="171"/>
      <c r="CV15" s="171"/>
      <c r="CW15" s="171"/>
      <c r="CX15" s="171"/>
      <c r="DG15" s="171"/>
      <c r="DH15" s="171"/>
      <c r="DI15" s="171"/>
      <c r="DJ15" s="171"/>
      <c r="DK15" s="171"/>
      <c r="DV15" s="212"/>
      <c r="DW15" s="212"/>
      <c r="DX15" s="172"/>
      <c r="DY15" s="172"/>
      <c r="DZ15" s="172"/>
      <c r="EA15" s="172"/>
      <c r="EB15" s="173"/>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c r="IP15" s="178"/>
      <c r="IQ15" s="178"/>
      <c r="IR15" s="178"/>
      <c r="IS15" s="178"/>
      <c r="IT15" s="178"/>
    </row>
    <row r="16" spans="1:254" s="161" customFormat="1">
      <c r="A16" s="472" t="s">
        <v>182</v>
      </c>
      <c r="B16" s="476" t="e">
        <f>B18+B17</f>
        <v>#DIV/0!</v>
      </c>
      <c r="C16" s="411"/>
      <c r="E16" s="159"/>
      <c r="F16" s="182"/>
      <c r="H16" s="121"/>
      <c r="I16" s="121"/>
      <c r="K16" s="175"/>
      <c r="L16" s="159"/>
      <c r="S16" s="159"/>
      <c r="T16" s="159"/>
      <c r="U16" s="159"/>
      <c r="V16" s="159"/>
      <c r="W16" s="159"/>
      <c r="X16" s="159"/>
      <c r="Y16" s="159"/>
      <c r="Z16" s="159"/>
      <c r="AA16" s="159"/>
      <c r="AB16" s="159"/>
      <c r="AC16" s="159"/>
      <c r="AD16" s="159"/>
      <c r="AE16" s="159"/>
      <c r="AF16" s="159"/>
      <c r="AG16" s="175"/>
      <c r="AH16" s="175"/>
      <c r="BN16" s="159"/>
      <c r="BO16" s="169"/>
      <c r="BP16" s="170"/>
      <c r="BQ16" s="170"/>
      <c r="BR16" s="170"/>
      <c r="BS16" s="170"/>
      <c r="CT16" s="171"/>
      <c r="CU16" s="171"/>
      <c r="CV16" s="171"/>
      <c r="CW16" s="171"/>
      <c r="CX16" s="171"/>
      <c r="DG16" s="171"/>
      <c r="DH16" s="171"/>
      <c r="DI16" s="171"/>
      <c r="DJ16" s="171"/>
      <c r="DK16" s="171"/>
      <c r="DV16" s="212"/>
      <c r="DW16" s="212"/>
      <c r="DX16" s="172"/>
      <c r="DY16" s="172"/>
      <c r="DZ16" s="172"/>
      <c r="EA16" s="172"/>
      <c r="EB16" s="173"/>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H16" s="178"/>
      <c r="FI16" s="178"/>
      <c r="FJ16" s="178"/>
      <c r="FK16" s="178"/>
      <c r="FL16" s="178"/>
      <c r="FM16" s="178"/>
      <c r="FN16" s="178"/>
      <c r="FO16" s="178"/>
      <c r="FP16" s="178"/>
      <c r="FQ16" s="178"/>
      <c r="FR16" s="178"/>
      <c r="FS16" s="178"/>
      <c r="FT16" s="178"/>
      <c r="FU16" s="178"/>
      <c r="FV16" s="178"/>
      <c r="FW16" s="178"/>
      <c r="FX16" s="178"/>
      <c r="FY16" s="178"/>
      <c r="FZ16" s="178"/>
      <c r="GA16" s="178"/>
      <c r="GB16" s="178"/>
      <c r="GC16" s="178"/>
      <c r="GD16" s="178"/>
      <c r="GE16" s="178"/>
      <c r="GF16" s="178"/>
      <c r="GG16" s="178"/>
      <c r="GH16" s="178"/>
      <c r="GI16" s="178"/>
      <c r="GJ16" s="178"/>
      <c r="GK16" s="178"/>
      <c r="GL16" s="178"/>
      <c r="GM16" s="178"/>
      <c r="GN16" s="178"/>
      <c r="GO16" s="178"/>
      <c r="GP16" s="178"/>
      <c r="GQ16" s="178"/>
      <c r="GR16" s="178"/>
      <c r="GS16" s="178"/>
      <c r="GT16" s="178"/>
      <c r="GU16" s="178"/>
      <c r="GV16" s="178"/>
      <c r="GW16" s="178"/>
      <c r="GX16" s="178"/>
      <c r="GY16" s="178"/>
      <c r="GZ16" s="178"/>
      <c r="HA16" s="178"/>
      <c r="HB16" s="178"/>
      <c r="HC16" s="178"/>
      <c r="HD16" s="178"/>
      <c r="HE16" s="178"/>
      <c r="HF16" s="178"/>
      <c r="HG16" s="178"/>
      <c r="HH16" s="178"/>
      <c r="HI16" s="178"/>
      <c r="HJ16" s="178"/>
      <c r="HK16" s="178"/>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8"/>
      <c r="IJ16" s="178"/>
      <c r="IK16" s="178"/>
      <c r="IL16" s="178"/>
      <c r="IM16" s="178"/>
      <c r="IN16" s="178"/>
      <c r="IO16" s="178"/>
      <c r="IP16" s="178"/>
      <c r="IQ16" s="178"/>
      <c r="IR16" s="178"/>
      <c r="IS16" s="178"/>
      <c r="IT16" s="178"/>
    </row>
    <row r="17" spans="1:254" s="161" customFormat="1">
      <c r="A17" s="404" t="s">
        <v>165</v>
      </c>
      <c r="B17" s="403" t="e">
        <f>IF($H$3=$S$3,EA9,0)</f>
        <v>#DIV/0!</v>
      </c>
      <c r="C17" s="411">
        <v>183.86</v>
      </c>
      <c r="E17" s="159"/>
      <c r="F17" s="182"/>
      <c r="H17" s="121"/>
      <c r="I17" s="121"/>
      <c r="K17" s="175"/>
      <c r="L17" s="159"/>
      <c r="S17" s="159"/>
      <c r="T17" s="159"/>
      <c r="U17" s="159"/>
      <c r="V17" s="159"/>
      <c r="W17" s="159"/>
      <c r="X17" s="159"/>
      <c r="Y17" s="159"/>
      <c r="Z17" s="159"/>
      <c r="AA17" s="159"/>
      <c r="AB17" s="159"/>
      <c r="AC17" s="159"/>
      <c r="AD17" s="159"/>
      <c r="AE17" s="159"/>
      <c r="AF17" s="159"/>
      <c r="AG17" s="175"/>
      <c r="AH17" s="175"/>
      <c r="BN17" s="159"/>
      <c r="BO17" s="169"/>
      <c r="BP17" s="170"/>
      <c r="BQ17" s="170"/>
      <c r="BR17" s="170"/>
      <c r="BS17" s="170"/>
      <c r="CT17" s="171"/>
      <c r="CU17" s="171"/>
      <c r="CV17" s="171"/>
      <c r="CW17" s="171"/>
      <c r="CX17" s="171"/>
      <c r="DG17" s="171"/>
      <c r="DH17" s="171"/>
      <c r="DI17" s="171"/>
      <c r="DJ17" s="171"/>
      <c r="DK17" s="171"/>
      <c r="DV17" s="212"/>
      <c r="DW17" s="212"/>
      <c r="DX17" s="172"/>
      <c r="DY17" s="172"/>
      <c r="DZ17" s="172"/>
      <c r="EA17" s="172"/>
      <c r="EB17" s="173"/>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H17" s="178"/>
      <c r="FI17" s="178"/>
      <c r="FJ17" s="178"/>
      <c r="FK17" s="178"/>
      <c r="FL17" s="178"/>
      <c r="FM17" s="178"/>
      <c r="FN17" s="178"/>
      <c r="FO17" s="178"/>
      <c r="FP17" s="178"/>
      <c r="FQ17" s="178"/>
      <c r="FR17" s="178"/>
      <c r="FS17" s="178"/>
      <c r="FT17" s="178"/>
      <c r="FU17" s="178"/>
      <c r="FV17" s="178"/>
      <c r="FW17" s="178"/>
      <c r="FX17" s="178"/>
      <c r="FY17" s="178"/>
      <c r="FZ17" s="178"/>
      <c r="GA17" s="178"/>
      <c r="GB17" s="178"/>
      <c r="GC17" s="178"/>
      <c r="GD17" s="178"/>
      <c r="GE17" s="178"/>
      <c r="GF17" s="178"/>
      <c r="GG17" s="178"/>
      <c r="GH17" s="178"/>
      <c r="GI17" s="178"/>
      <c r="GJ17" s="178"/>
      <c r="GK17" s="178"/>
      <c r="GL17" s="178"/>
      <c r="GM17" s="178"/>
      <c r="GN17" s="178"/>
      <c r="GO17" s="178"/>
      <c r="GP17" s="178"/>
      <c r="GQ17" s="178"/>
      <c r="GR17" s="178"/>
      <c r="GS17" s="178"/>
      <c r="GT17" s="178"/>
      <c r="GU17" s="178"/>
      <c r="GV17" s="178"/>
      <c r="GW17" s="178"/>
      <c r="GX17" s="178"/>
      <c r="GY17" s="178"/>
      <c r="GZ17" s="178"/>
      <c r="HA17" s="178"/>
      <c r="HB17" s="178"/>
      <c r="HC17" s="178"/>
      <c r="HD17" s="178"/>
      <c r="HE17" s="178"/>
      <c r="HF17" s="178"/>
      <c r="HG17" s="178"/>
      <c r="HH17" s="178"/>
      <c r="HI17" s="178"/>
      <c r="HJ17" s="178"/>
      <c r="HK17" s="178"/>
      <c r="HL17" s="178"/>
      <c r="HM17" s="178"/>
      <c r="HN17" s="178"/>
      <c r="HO17" s="178"/>
      <c r="HP17" s="178"/>
      <c r="HQ17" s="178"/>
      <c r="HR17" s="178"/>
      <c r="HS17" s="178"/>
      <c r="HT17" s="178"/>
      <c r="HU17" s="178"/>
      <c r="HV17" s="178"/>
      <c r="HW17" s="178"/>
      <c r="HX17" s="178"/>
      <c r="HY17" s="178"/>
      <c r="HZ17" s="178"/>
      <c r="IA17" s="178"/>
      <c r="IB17" s="178"/>
      <c r="IC17" s="178"/>
      <c r="ID17" s="178"/>
      <c r="IE17" s="178"/>
      <c r="IF17" s="178"/>
      <c r="IG17" s="178"/>
      <c r="IH17" s="178"/>
      <c r="II17" s="178"/>
      <c r="IJ17" s="178"/>
      <c r="IK17" s="178"/>
      <c r="IL17" s="178"/>
      <c r="IM17" s="178"/>
      <c r="IN17" s="178"/>
      <c r="IO17" s="178"/>
      <c r="IP17" s="178"/>
      <c r="IQ17" s="178"/>
      <c r="IR17" s="178"/>
      <c r="IS17" s="178"/>
      <c r="IT17" s="178"/>
    </row>
    <row r="18" spans="1:254" s="161" customFormat="1" ht="13.5" thickBot="1">
      <c r="A18" s="405" t="s">
        <v>146</v>
      </c>
      <c r="B18" s="406" t="e">
        <f>DZ9</f>
        <v>#DIV/0!</v>
      </c>
      <c r="C18" s="411"/>
      <c r="E18" s="159"/>
      <c r="F18" s="182"/>
      <c r="H18" s="121"/>
      <c r="I18" s="121"/>
      <c r="K18" s="175"/>
      <c r="L18" s="159"/>
      <c r="S18" s="159"/>
      <c r="T18" s="159"/>
      <c r="U18" s="159"/>
      <c r="V18" s="159"/>
      <c r="W18" s="159"/>
      <c r="X18" s="159"/>
      <c r="Y18" s="159"/>
      <c r="Z18" s="159"/>
      <c r="AA18" s="159"/>
      <c r="AB18" s="159"/>
      <c r="AC18" s="159"/>
      <c r="AD18" s="159"/>
      <c r="AE18" s="159"/>
      <c r="AF18" s="159"/>
      <c r="AG18" s="175"/>
      <c r="AH18" s="175"/>
      <c r="BN18" s="159"/>
      <c r="BO18" s="169"/>
      <c r="BP18" s="170"/>
      <c r="BQ18" s="170"/>
      <c r="BR18" s="170"/>
      <c r="BS18" s="170"/>
      <c r="CT18" s="171"/>
      <c r="CU18" s="171"/>
      <c r="CV18" s="171"/>
      <c r="CW18" s="171"/>
      <c r="CX18" s="171"/>
      <c r="DG18" s="171"/>
      <c r="DH18" s="171"/>
      <c r="DI18" s="171"/>
      <c r="DJ18" s="171"/>
      <c r="DK18" s="171"/>
      <c r="DV18" s="212"/>
      <c r="DW18" s="212"/>
      <c r="DX18" s="172"/>
      <c r="DY18" s="172"/>
      <c r="DZ18" s="172"/>
      <c r="EA18" s="172"/>
      <c r="EB18" s="173"/>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178"/>
      <c r="GF18" s="178"/>
      <c r="GG18" s="178"/>
      <c r="GH18" s="178"/>
      <c r="GI18" s="178"/>
      <c r="GJ18" s="178"/>
      <c r="GK18" s="178"/>
      <c r="GL18" s="178"/>
      <c r="GM18" s="178"/>
      <c r="GN18" s="178"/>
      <c r="GO18" s="178"/>
      <c r="GP18" s="178"/>
      <c r="GQ18" s="178"/>
      <c r="GR18" s="178"/>
      <c r="GS18" s="178"/>
      <c r="GT18" s="178"/>
      <c r="GU18" s="178"/>
      <c r="GV18" s="178"/>
      <c r="GW18" s="178"/>
      <c r="GX18" s="178"/>
      <c r="GY18" s="178"/>
      <c r="GZ18" s="178"/>
      <c r="HA18" s="178"/>
      <c r="HB18" s="178"/>
      <c r="HC18" s="178"/>
      <c r="HD18" s="178"/>
      <c r="HE18" s="178"/>
      <c r="HF18" s="178"/>
      <c r="HG18" s="178"/>
      <c r="HH18" s="178"/>
      <c r="HI18" s="178"/>
      <c r="HJ18" s="178"/>
      <c r="HK18" s="178"/>
      <c r="HL18" s="178"/>
      <c r="HM18" s="178"/>
      <c r="HN18" s="178"/>
      <c r="HO18" s="178"/>
      <c r="HP18" s="178"/>
      <c r="HQ18" s="178"/>
      <c r="HR18" s="178"/>
      <c r="HS18" s="178"/>
      <c r="HT18" s="178"/>
      <c r="HU18" s="178"/>
      <c r="HV18" s="178"/>
      <c r="HW18" s="178"/>
      <c r="HX18" s="178"/>
      <c r="HY18" s="178"/>
      <c r="HZ18" s="178"/>
      <c r="IA18" s="178"/>
      <c r="IB18" s="178"/>
      <c r="IC18" s="178"/>
      <c r="ID18" s="178"/>
      <c r="IE18" s="178"/>
      <c r="IF18" s="178"/>
      <c r="IG18" s="178"/>
      <c r="IH18" s="178"/>
      <c r="II18" s="178"/>
      <c r="IJ18" s="178"/>
      <c r="IK18" s="178"/>
      <c r="IL18" s="178"/>
      <c r="IM18" s="178"/>
      <c r="IN18" s="178"/>
      <c r="IO18" s="178"/>
      <c r="IP18" s="178"/>
      <c r="IQ18" s="178"/>
      <c r="IR18" s="178"/>
      <c r="IS18" s="178"/>
      <c r="IT18" s="178"/>
    </row>
    <row r="19" spans="1:254" s="161" customFormat="1" ht="13.5" thickBot="1">
      <c r="A19" s="182"/>
      <c r="E19" s="159"/>
      <c r="F19" s="182"/>
      <c r="H19" s="121"/>
      <c r="I19" s="121"/>
      <c r="K19" s="175"/>
      <c r="L19" s="159"/>
      <c r="S19" s="159"/>
      <c r="T19" s="159"/>
      <c r="U19" s="159"/>
      <c r="V19" s="159"/>
      <c r="W19" s="159"/>
      <c r="X19" s="159"/>
      <c r="Y19" s="159"/>
      <c r="Z19" s="159"/>
      <c r="AA19" s="159"/>
      <c r="AB19" s="159"/>
      <c r="AC19" s="159"/>
      <c r="AD19" s="159"/>
      <c r="AE19" s="159"/>
      <c r="AF19" s="159"/>
      <c r="AG19" s="175"/>
      <c r="AH19" s="175"/>
      <c r="BN19" s="159"/>
      <c r="BO19" s="169"/>
      <c r="BP19" s="170"/>
      <c r="BQ19" s="170"/>
      <c r="BR19" s="170"/>
      <c r="BS19" s="170"/>
      <c r="CT19" s="171"/>
      <c r="CU19" s="171"/>
      <c r="CV19" s="171"/>
      <c r="CW19" s="171"/>
      <c r="CX19" s="171"/>
      <c r="DG19" s="171"/>
      <c r="DH19" s="171"/>
      <c r="DI19" s="171"/>
      <c r="DJ19" s="171"/>
      <c r="DK19" s="171"/>
      <c r="DV19" s="212"/>
      <c r="DW19" s="212"/>
      <c r="DX19" s="172"/>
      <c r="DY19" s="172"/>
      <c r="DZ19" s="172"/>
      <c r="EA19" s="172"/>
      <c r="EB19" s="173"/>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c r="GK19" s="178"/>
      <c r="GL19" s="178"/>
      <c r="GM19" s="178"/>
      <c r="GN19" s="178"/>
      <c r="GO19" s="178"/>
      <c r="GP19" s="178"/>
      <c r="GQ19" s="178"/>
      <c r="GR19" s="178"/>
      <c r="GS19" s="178"/>
      <c r="GT19" s="178"/>
      <c r="GU19" s="178"/>
      <c r="GV19" s="178"/>
      <c r="GW19" s="178"/>
      <c r="GX19" s="178"/>
      <c r="GY19" s="178"/>
      <c r="GZ19" s="178"/>
      <c r="HA19" s="178"/>
      <c r="HB19" s="178"/>
      <c r="HC19" s="178"/>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8"/>
      <c r="IJ19" s="178"/>
      <c r="IK19" s="178"/>
      <c r="IL19" s="178"/>
      <c r="IM19" s="178"/>
      <c r="IN19" s="178"/>
      <c r="IO19" s="178"/>
      <c r="IP19" s="178"/>
      <c r="IQ19" s="178"/>
      <c r="IR19" s="178"/>
      <c r="IS19" s="178"/>
      <c r="IT19" s="178"/>
    </row>
    <row r="20" spans="1:254" s="161" customFormat="1" ht="13.5" thickBot="1">
      <c r="A20" s="477" t="s">
        <v>300</v>
      </c>
      <c r="B20" s="483" t="e">
        <f>EA9/(SUM(EC7:EC8)/(1+'Economic Assumptions'!D18+'Economic Assumptions'!D19))</f>
        <v>#DIV/0!</v>
      </c>
      <c r="E20" s="159"/>
      <c r="F20" s="182"/>
      <c r="H20" s="121"/>
      <c r="I20" s="121"/>
      <c r="K20" s="175"/>
      <c r="L20" s="159"/>
      <c r="S20" s="159"/>
      <c r="T20" s="159"/>
      <c r="U20" s="159"/>
      <c r="V20" s="159"/>
      <c r="W20" s="159"/>
      <c r="X20" s="159"/>
      <c r="Y20" s="159"/>
      <c r="Z20" s="159"/>
      <c r="AA20" s="159"/>
      <c r="AB20" s="159"/>
      <c r="AC20" s="159"/>
      <c r="AD20" s="159"/>
      <c r="AE20" s="159"/>
      <c r="AF20" s="159"/>
      <c r="AG20" s="175"/>
      <c r="AH20" s="175"/>
      <c r="BN20" s="159"/>
      <c r="BO20" s="169"/>
      <c r="BP20" s="170"/>
      <c r="BQ20" s="170"/>
      <c r="BR20" s="170"/>
      <c r="BS20" s="170"/>
      <c r="CT20" s="171"/>
      <c r="CU20" s="171"/>
      <c r="CV20" s="171"/>
      <c r="CW20" s="171"/>
      <c r="CX20" s="171"/>
      <c r="DG20" s="171"/>
      <c r="DH20" s="171"/>
      <c r="DI20" s="171"/>
      <c r="DJ20" s="171"/>
      <c r="DK20" s="171"/>
      <c r="DV20" s="212"/>
      <c r="DW20" s="212"/>
      <c r="DX20" s="172"/>
      <c r="DY20" s="172"/>
      <c r="DZ20" s="172"/>
      <c r="EA20" s="172"/>
      <c r="EB20" s="173"/>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178"/>
      <c r="GI20" s="178"/>
      <c r="GJ20" s="178"/>
      <c r="GK20" s="178"/>
      <c r="GL20" s="178"/>
      <c r="GM20" s="178"/>
      <c r="GN20" s="178"/>
      <c r="GO20" s="178"/>
      <c r="GP20" s="178"/>
      <c r="GQ20" s="178"/>
      <c r="GR20" s="178"/>
      <c r="GS20" s="178"/>
      <c r="GT20" s="178"/>
      <c r="GU20" s="178"/>
      <c r="GV20" s="178"/>
      <c r="GW20" s="178"/>
      <c r="GX20" s="178"/>
      <c r="GY20" s="178"/>
      <c r="GZ20" s="178"/>
      <c r="HA20" s="178"/>
      <c r="HB20" s="178"/>
      <c r="HC20" s="178"/>
      <c r="HD20" s="178"/>
      <c r="HE20" s="178"/>
      <c r="HF20" s="178"/>
      <c r="HG20" s="178"/>
      <c r="HH20" s="178"/>
      <c r="HI20" s="178"/>
      <c r="HJ20" s="178"/>
      <c r="HK20" s="178"/>
      <c r="HL20" s="178"/>
      <c r="HM20" s="178"/>
      <c r="HN20" s="178"/>
      <c r="HO20" s="178"/>
      <c r="HP20" s="178"/>
      <c r="HQ20" s="178"/>
      <c r="HR20" s="178"/>
      <c r="HS20" s="178"/>
      <c r="HT20" s="178"/>
      <c r="HU20" s="178"/>
      <c r="HV20" s="178"/>
      <c r="HW20" s="178"/>
      <c r="HX20" s="178"/>
      <c r="HY20" s="178"/>
      <c r="HZ20" s="178"/>
      <c r="IA20" s="178"/>
      <c r="IB20" s="178"/>
      <c r="IC20" s="178"/>
      <c r="ID20" s="178"/>
      <c r="IE20" s="178"/>
      <c r="IF20" s="178"/>
      <c r="IG20" s="178"/>
      <c r="IH20" s="178"/>
      <c r="II20" s="178"/>
      <c r="IJ20" s="178"/>
      <c r="IK20" s="178"/>
      <c r="IL20" s="178"/>
      <c r="IM20" s="178"/>
      <c r="IN20" s="178"/>
      <c r="IO20" s="178"/>
      <c r="IP20" s="178"/>
      <c r="IQ20" s="178"/>
      <c r="IR20" s="178"/>
      <c r="IS20" s="178"/>
      <c r="IT20" s="178"/>
    </row>
    <row r="21" spans="1:254" s="161" customFormat="1">
      <c r="E21" s="159"/>
      <c r="F21" s="182"/>
      <c r="H21" s="121"/>
      <c r="I21" s="121"/>
      <c r="K21" s="175"/>
      <c r="L21" s="159"/>
      <c r="S21" s="159"/>
      <c r="T21" s="159"/>
      <c r="U21" s="159"/>
      <c r="V21" s="159"/>
      <c r="W21" s="159"/>
      <c r="X21" s="159"/>
      <c r="Y21" s="159"/>
      <c r="Z21" s="159"/>
      <c r="AA21" s="159"/>
      <c r="AB21" s="159"/>
      <c r="AC21" s="159"/>
      <c r="AD21" s="159"/>
      <c r="AE21" s="159"/>
      <c r="AF21" s="159"/>
      <c r="AG21" s="175"/>
      <c r="AH21" s="175"/>
      <c r="BN21" s="159"/>
      <c r="BO21" s="169"/>
      <c r="BP21" s="170"/>
      <c r="BQ21" s="170"/>
      <c r="BR21" s="170"/>
      <c r="BS21" s="170"/>
      <c r="CT21" s="171"/>
      <c r="CU21" s="171"/>
      <c r="CV21" s="171"/>
      <c r="CW21" s="171"/>
      <c r="CX21" s="171"/>
      <c r="DG21" s="171"/>
      <c r="DH21" s="171"/>
      <c r="DI21" s="171"/>
      <c r="DJ21" s="171"/>
      <c r="DK21" s="171"/>
      <c r="DV21" s="212"/>
      <c r="DW21" s="212"/>
      <c r="DX21" s="172"/>
      <c r="DY21" s="172"/>
      <c r="DZ21" s="172"/>
      <c r="EA21" s="172"/>
      <c r="EB21" s="173"/>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H21" s="178"/>
      <c r="FI21" s="178"/>
      <c r="FJ21" s="178"/>
      <c r="FK21" s="178"/>
      <c r="FL21" s="178"/>
      <c r="FM21" s="178"/>
      <c r="FN21" s="178"/>
      <c r="FO21" s="178"/>
      <c r="FP21" s="178"/>
      <c r="FQ21" s="178"/>
      <c r="FR21" s="178"/>
      <c r="FS21" s="178"/>
      <c r="FT21" s="178"/>
      <c r="FU21" s="178"/>
      <c r="FV21" s="178"/>
      <c r="FW21" s="178"/>
      <c r="FX21" s="178"/>
      <c r="FY21" s="178"/>
      <c r="FZ21" s="178"/>
      <c r="GA21" s="178"/>
      <c r="GB21" s="178"/>
      <c r="GC21" s="178"/>
      <c r="GD21" s="178"/>
      <c r="GE21" s="178"/>
      <c r="GF21" s="178"/>
      <c r="GG21" s="178"/>
      <c r="GH21" s="178"/>
      <c r="GI21" s="178"/>
      <c r="GJ21" s="178"/>
      <c r="GK21" s="178"/>
      <c r="GL21" s="178"/>
      <c r="GM21" s="178"/>
      <c r="GN21" s="178"/>
      <c r="GO21" s="178"/>
      <c r="GP21" s="178"/>
      <c r="GQ21" s="178"/>
      <c r="GR21" s="178"/>
      <c r="GS21" s="178"/>
      <c r="GT21" s="178"/>
      <c r="GU21" s="178"/>
      <c r="GV21" s="178"/>
      <c r="GW21" s="178"/>
      <c r="GX21" s="178"/>
      <c r="GY21" s="178"/>
      <c r="GZ21" s="178"/>
      <c r="HA21" s="178"/>
      <c r="HB21" s="178"/>
      <c r="HC21" s="178"/>
      <c r="HD21" s="178"/>
      <c r="HE21" s="178"/>
      <c r="HF21" s="178"/>
      <c r="HG21" s="178"/>
      <c r="HH21" s="178"/>
      <c r="HI21" s="178"/>
      <c r="HJ21" s="178"/>
      <c r="HK21" s="178"/>
      <c r="HL21" s="178"/>
      <c r="HM21" s="178"/>
      <c r="HN21" s="178"/>
      <c r="HO21" s="178"/>
      <c r="HP21" s="178"/>
      <c r="HQ21" s="178"/>
      <c r="HR21" s="178"/>
      <c r="HS21" s="178"/>
      <c r="HT21" s="178"/>
      <c r="HU21" s="178"/>
      <c r="HV21" s="178"/>
      <c r="HW21" s="178"/>
      <c r="HX21" s="178"/>
      <c r="HY21" s="178"/>
      <c r="HZ21" s="178"/>
      <c r="IA21" s="178"/>
      <c r="IB21" s="178"/>
      <c r="IC21" s="178"/>
      <c r="ID21" s="178"/>
      <c r="IE21" s="178"/>
      <c r="IF21" s="178"/>
      <c r="IG21" s="178"/>
      <c r="IH21" s="178"/>
      <c r="II21" s="178"/>
      <c r="IJ21" s="178"/>
      <c r="IK21" s="178"/>
      <c r="IL21" s="178"/>
      <c r="IM21" s="178"/>
      <c r="IN21" s="178"/>
      <c r="IO21" s="178"/>
      <c r="IP21" s="178"/>
      <c r="IQ21" s="178"/>
      <c r="IR21" s="178"/>
      <c r="IS21" s="178"/>
      <c r="IT21" s="178"/>
    </row>
    <row r="22" spans="1:254" s="161" customFormat="1">
      <c r="A22" s="214" t="s">
        <v>176</v>
      </c>
      <c r="B22" s="215"/>
      <c r="C22" s="215"/>
      <c r="D22" s="215"/>
      <c r="E22" s="216"/>
      <c r="F22" s="217"/>
      <c r="G22" s="215"/>
      <c r="H22" s="218"/>
      <c r="I22" s="218"/>
      <c r="J22" s="215"/>
      <c r="K22" s="219"/>
      <c r="L22" s="216"/>
      <c r="M22" s="215"/>
      <c r="N22" s="215"/>
      <c r="O22" s="215"/>
      <c r="P22" s="215"/>
      <c r="Q22" s="215"/>
      <c r="R22" s="215"/>
      <c r="S22" s="216"/>
      <c r="T22" s="216"/>
      <c r="U22" s="216"/>
      <c r="V22" s="216"/>
      <c r="W22" s="216"/>
      <c r="X22" s="216"/>
      <c r="Y22" s="216"/>
      <c r="Z22" s="216"/>
      <c r="AA22" s="216"/>
      <c r="AB22" s="216"/>
      <c r="AC22" s="216"/>
      <c r="AD22" s="216"/>
      <c r="AE22" s="216"/>
      <c r="AF22" s="216"/>
      <c r="AG22" s="219"/>
      <c r="AH22" s="219"/>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6"/>
      <c r="BO22" s="220"/>
      <c r="BP22" s="221"/>
      <c r="BQ22" s="221"/>
      <c r="BR22" s="221"/>
      <c r="BS22" s="221"/>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22"/>
      <c r="CU22" s="222"/>
      <c r="CV22" s="222"/>
      <c r="CW22" s="222"/>
      <c r="CX22" s="222"/>
      <c r="CY22" s="215"/>
      <c r="CZ22" s="215"/>
      <c r="DA22" s="215"/>
      <c r="DB22" s="215"/>
      <c r="DC22" s="215"/>
      <c r="DD22" s="215"/>
      <c r="DE22" s="215"/>
      <c r="DF22" s="215"/>
      <c r="DG22" s="222"/>
      <c r="DH22" s="222"/>
      <c r="DI22" s="222"/>
      <c r="DJ22" s="222"/>
      <c r="DK22" s="222"/>
      <c r="DL22" s="215"/>
      <c r="DM22" s="215"/>
      <c r="DN22" s="215"/>
      <c r="DO22" s="215"/>
      <c r="DP22" s="215"/>
      <c r="DQ22" s="215"/>
      <c r="DR22" s="215"/>
      <c r="DS22" s="215"/>
      <c r="DT22" s="215"/>
      <c r="DU22" s="215"/>
      <c r="DV22" s="223"/>
      <c r="DW22" s="223"/>
      <c r="DX22" s="224"/>
      <c r="DY22" s="224"/>
      <c r="DZ22" s="224"/>
      <c r="EA22" s="224"/>
      <c r="EB22" s="225"/>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H22" s="178"/>
      <c r="FI22" s="178"/>
      <c r="FJ22" s="178"/>
      <c r="FK22" s="178"/>
      <c r="FL22" s="178"/>
      <c r="FM22" s="178"/>
      <c r="FN22" s="178"/>
      <c r="FO22" s="178"/>
      <c r="FP22" s="178"/>
      <c r="FQ22" s="178"/>
      <c r="FR22" s="178"/>
      <c r="FS22" s="178"/>
      <c r="FT22" s="178"/>
      <c r="FU22" s="178"/>
      <c r="FV22" s="178"/>
      <c r="FW22" s="178"/>
      <c r="FX22" s="178"/>
      <c r="FY22" s="178"/>
      <c r="FZ22" s="178"/>
      <c r="GA22" s="178"/>
      <c r="GB22" s="178"/>
      <c r="GC22" s="178"/>
      <c r="GD22" s="178"/>
      <c r="GE22" s="178"/>
      <c r="GF22" s="178"/>
      <c r="GG22" s="178"/>
      <c r="GH22" s="178"/>
      <c r="GI22" s="178"/>
      <c r="GJ22" s="178"/>
      <c r="GK22" s="178"/>
      <c r="GL22" s="178"/>
      <c r="GM22" s="178"/>
      <c r="GN22" s="178"/>
      <c r="GO22" s="178"/>
      <c r="GP22" s="178"/>
      <c r="GQ22" s="178"/>
      <c r="GR22" s="178"/>
      <c r="GS22" s="178"/>
      <c r="GT22" s="178"/>
      <c r="GU22" s="178"/>
      <c r="GV22" s="178"/>
      <c r="GW22" s="178"/>
      <c r="GX22" s="178"/>
      <c r="GY22" s="178"/>
      <c r="GZ22" s="178"/>
      <c r="HA22" s="178"/>
      <c r="HB22" s="178"/>
      <c r="HC22" s="178"/>
      <c r="HD22" s="178"/>
      <c r="HE22" s="178"/>
      <c r="HF22" s="178"/>
      <c r="HG22" s="178"/>
      <c r="HH22" s="178"/>
      <c r="HI22" s="178"/>
      <c r="HJ22" s="178"/>
      <c r="HK22" s="178"/>
      <c r="HL22" s="178"/>
      <c r="HM22" s="178"/>
      <c r="HN22" s="178"/>
      <c r="HO22" s="178"/>
      <c r="HP22" s="178"/>
      <c r="HQ22" s="178"/>
      <c r="HR22" s="178"/>
      <c r="HS22" s="178"/>
      <c r="HT22" s="178"/>
      <c r="HU22" s="178"/>
      <c r="HV22" s="178"/>
      <c r="HW22" s="178"/>
      <c r="HX22" s="178"/>
      <c r="HY22" s="178"/>
      <c r="HZ22" s="178"/>
      <c r="IA22" s="178"/>
      <c r="IB22" s="178"/>
      <c r="IC22" s="178"/>
      <c r="ID22" s="178"/>
      <c r="IE22" s="178"/>
      <c r="IF22" s="178"/>
      <c r="IG22" s="178"/>
      <c r="IH22" s="178"/>
      <c r="II22" s="178"/>
      <c r="IJ22" s="178"/>
      <c r="IK22" s="178"/>
      <c r="IL22" s="178"/>
      <c r="IM22" s="178"/>
      <c r="IN22" s="178"/>
      <c r="IO22" s="178"/>
      <c r="IP22" s="178"/>
      <c r="IQ22" s="178"/>
      <c r="IR22" s="178"/>
      <c r="IS22" s="178"/>
      <c r="IT22" s="178"/>
    </row>
    <row r="23" spans="1:254" s="75" customFormat="1">
      <c r="A23" s="211" t="s">
        <v>297</v>
      </c>
      <c r="B23" s="74"/>
      <c r="C23" s="74"/>
      <c r="D23" s="74"/>
      <c r="E23" s="74"/>
      <c r="F23" s="460"/>
      <c r="G23" s="74"/>
      <c r="H23" s="461"/>
      <c r="I23" s="461"/>
      <c r="J23" s="74"/>
      <c r="K23" s="462"/>
      <c r="L23" s="74"/>
      <c r="S23" s="74"/>
      <c r="T23" s="74"/>
      <c r="U23" s="74"/>
      <c r="V23" s="74"/>
      <c r="W23" s="74"/>
      <c r="X23" s="74"/>
      <c r="Y23" s="74"/>
      <c r="Z23" s="74"/>
      <c r="AA23" s="74"/>
      <c r="AB23" s="74"/>
      <c r="AC23" s="74"/>
      <c r="AD23" s="74"/>
      <c r="AE23" s="74"/>
      <c r="AF23" s="74"/>
      <c r="AG23" s="93"/>
      <c r="AH23" s="93"/>
      <c r="BN23" s="74"/>
      <c r="BO23" s="463"/>
      <c r="BP23" s="125"/>
      <c r="BQ23" s="125"/>
      <c r="BR23" s="125"/>
      <c r="BS23" s="125"/>
      <c r="CT23" s="79"/>
      <c r="CU23" s="79"/>
      <c r="CV23" s="79"/>
      <c r="CW23" s="79"/>
      <c r="CX23" s="79"/>
      <c r="DG23" s="79"/>
      <c r="DH23" s="79"/>
      <c r="DI23" s="79"/>
      <c r="DJ23" s="79"/>
      <c r="DK23" s="79"/>
      <c r="DV23" s="464"/>
      <c r="DW23" s="464"/>
      <c r="DX23" s="465"/>
      <c r="DY23" s="465"/>
      <c r="DZ23" s="465"/>
      <c r="EA23" s="465"/>
      <c r="EB23" s="466"/>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row>
    <row r="24" spans="1:254" s="75" customFormat="1">
      <c r="A24" s="211"/>
      <c r="B24" s="74"/>
      <c r="C24" s="74"/>
      <c r="D24" s="74"/>
      <c r="E24" s="74"/>
      <c r="F24" s="460"/>
      <c r="G24" s="74"/>
      <c r="H24" s="461"/>
      <c r="I24" s="461"/>
      <c r="J24" s="74"/>
      <c r="K24" s="462"/>
      <c r="L24" s="74"/>
      <c r="S24" s="74"/>
      <c r="T24" s="74"/>
      <c r="U24" s="74"/>
      <c r="V24" s="74"/>
      <c r="W24" s="74"/>
      <c r="X24" s="74"/>
      <c r="Y24" s="74"/>
      <c r="Z24" s="74"/>
      <c r="AA24" s="74"/>
      <c r="AB24" s="74"/>
      <c r="AC24" s="74"/>
      <c r="AD24" s="74"/>
      <c r="AE24" s="74"/>
      <c r="AF24" s="74"/>
      <c r="AG24" s="93"/>
      <c r="AH24" s="93"/>
      <c r="BN24" s="74"/>
      <c r="BO24" s="463"/>
      <c r="BP24" s="125"/>
      <c r="BQ24" s="125"/>
      <c r="BR24" s="125"/>
      <c r="BS24" s="125"/>
      <c r="CT24" s="79"/>
      <c r="CU24" s="79"/>
      <c r="CV24" s="79"/>
      <c r="CW24" s="79"/>
      <c r="CX24" s="79"/>
      <c r="DG24" s="79"/>
      <c r="DH24" s="79"/>
      <c r="DI24" s="79"/>
      <c r="DJ24" s="79"/>
      <c r="DK24" s="79"/>
      <c r="DV24" s="464"/>
      <c r="DW24" s="464"/>
      <c r="DX24" s="465"/>
      <c r="DY24" s="465"/>
      <c r="DZ24" s="465"/>
      <c r="EA24" s="465"/>
      <c r="EB24" s="466"/>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row>
    <row r="25" spans="1:254" s="75" customFormat="1">
      <c r="A25" s="211"/>
      <c r="B25" s="74"/>
      <c r="C25" s="74"/>
      <c r="D25" s="74"/>
      <c r="E25" s="74"/>
      <c r="F25" s="460"/>
      <c r="G25" s="74"/>
      <c r="H25" s="461"/>
      <c r="I25" s="461"/>
      <c r="J25" s="74"/>
      <c r="K25" s="462"/>
      <c r="L25" s="74"/>
      <c r="S25" s="74"/>
      <c r="T25" s="74"/>
      <c r="U25" s="74"/>
      <c r="V25" s="74"/>
      <c r="W25" s="74"/>
      <c r="X25" s="74"/>
      <c r="Y25" s="74"/>
      <c r="Z25" s="74"/>
      <c r="AA25" s="74"/>
      <c r="AB25" s="74"/>
      <c r="AC25" s="74"/>
      <c r="AD25" s="74"/>
      <c r="AE25" s="74"/>
      <c r="AF25" s="74"/>
      <c r="AG25" s="93"/>
      <c r="AH25" s="93"/>
      <c r="BN25" s="74"/>
      <c r="BO25" s="463"/>
      <c r="BP25" s="125"/>
      <c r="BQ25" s="125"/>
      <c r="BR25" s="125"/>
      <c r="BS25" s="125"/>
      <c r="CT25" s="79"/>
      <c r="CU25" s="79"/>
      <c r="CV25" s="79"/>
      <c r="CW25" s="79"/>
      <c r="CX25" s="79"/>
      <c r="DG25" s="79"/>
      <c r="DH25" s="79"/>
      <c r="DI25" s="79"/>
      <c r="DJ25" s="79"/>
      <c r="DK25" s="79"/>
      <c r="DV25" s="464"/>
      <c r="DW25" s="464"/>
      <c r="DX25" s="465"/>
      <c r="DY25" s="465"/>
      <c r="DZ25" s="465"/>
      <c r="EA25" s="465"/>
      <c r="EB25" s="466"/>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row>
    <row r="26" spans="1:254" s="75" customFormat="1">
      <c r="A26" s="211"/>
      <c r="B26" s="74"/>
      <c r="C26" s="74"/>
      <c r="D26" s="74"/>
      <c r="E26" s="74"/>
      <c r="F26" s="460"/>
      <c r="G26" s="74"/>
      <c r="H26" s="461"/>
      <c r="I26" s="461"/>
      <c r="J26" s="74"/>
      <c r="K26" s="462"/>
      <c r="L26" s="74"/>
      <c r="S26" s="74"/>
      <c r="T26" s="74"/>
      <c r="U26" s="74"/>
      <c r="V26" s="74"/>
      <c r="W26" s="74"/>
      <c r="X26" s="74"/>
      <c r="Y26" s="74"/>
      <c r="Z26" s="74"/>
      <c r="AA26" s="74"/>
      <c r="AB26" s="74"/>
      <c r="AC26" s="74"/>
      <c r="AD26" s="74"/>
      <c r="AE26" s="74"/>
      <c r="AF26" s="74"/>
      <c r="AG26" s="93"/>
      <c r="AH26" s="93"/>
      <c r="BN26" s="74"/>
      <c r="BO26" s="463"/>
      <c r="BP26" s="125"/>
      <c r="BQ26" s="125"/>
      <c r="BR26" s="125"/>
      <c r="BS26" s="125"/>
      <c r="CT26" s="79"/>
      <c r="CU26" s="79"/>
      <c r="CV26" s="79"/>
      <c r="CW26" s="79"/>
      <c r="CX26" s="79"/>
      <c r="DG26" s="79"/>
      <c r="DH26" s="79"/>
      <c r="DI26" s="79"/>
      <c r="DJ26" s="79"/>
      <c r="DK26" s="79"/>
      <c r="DV26" s="464"/>
      <c r="DW26" s="464"/>
      <c r="DX26" s="465"/>
      <c r="DY26" s="465"/>
      <c r="DZ26" s="465"/>
      <c r="EA26" s="465"/>
      <c r="EB26" s="466"/>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row>
    <row r="27" spans="1:254" s="75" customFormat="1">
      <c r="A27" s="211"/>
      <c r="B27" s="74"/>
      <c r="C27" s="74"/>
      <c r="D27" s="74"/>
      <c r="E27" s="74"/>
      <c r="F27" s="460"/>
      <c r="G27" s="74"/>
      <c r="H27" s="461"/>
      <c r="I27" s="461"/>
      <c r="J27" s="74"/>
      <c r="K27" s="462"/>
      <c r="L27" s="74"/>
      <c r="S27" s="74"/>
      <c r="T27" s="74"/>
      <c r="U27" s="74"/>
      <c r="V27" s="74"/>
      <c r="W27" s="74"/>
      <c r="X27" s="74"/>
      <c r="Y27" s="74"/>
      <c r="Z27" s="74"/>
      <c r="AA27" s="74"/>
      <c r="AB27" s="74"/>
      <c r="AC27" s="74"/>
      <c r="AD27" s="74"/>
      <c r="AE27" s="74"/>
      <c r="AF27" s="74"/>
      <c r="AG27" s="93"/>
      <c r="AH27" s="93"/>
      <c r="BN27" s="74"/>
      <c r="BO27" s="463"/>
      <c r="BP27" s="125"/>
      <c r="BQ27" s="125"/>
      <c r="BR27" s="125"/>
      <c r="BS27" s="125"/>
      <c r="CT27" s="79"/>
      <c r="CU27" s="79"/>
      <c r="CV27" s="79"/>
      <c r="CW27" s="79"/>
      <c r="CX27" s="79"/>
      <c r="DG27" s="79"/>
      <c r="DH27" s="79"/>
      <c r="DI27" s="79"/>
      <c r="DJ27" s="79"/>
      <c r="DK27" s="79"/>
      <c r="DV27" s="464"/>
      <c r="DW27" s="464"/>
      <c r="DX27" s="465"/>
      <c r="DY27" s="465"/>
      <c r="DZ27" s="465"/>
      <c r="EA27" s="465"/>
      <c r="EB27" s="466"/>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row>
    <row r="28" spans="1:254" s="75" customFormat="1">
      <c r="A28" s="211"/>
      <c r="B28" s="74"/>
      <c r="C28" s="74"/>
      <c r="D28" s="74"/>
      <c r="E28" s="74"/>
      <c r="F28" s="460"/>
      <c r="G28" s="74"/>
      <c r="H28" s="461"/>
      <c r="I28" s="461"/>
      <c r="J28" s="74"/>
      <c r="K28" s="462"/>
      <c r="L28" s="74"/>
      <c r="S28" s="74"/>
      <c r="T28" s="74"/>
      <c r="U28" s="74"/>
      <c r="V28" s="74"/>
      <c r="W28" s="74"/>
      <c r="X28" s="74"/>
      <c r="Y28" s="74"/>
      <c r="Z28" s="74"/>
      <c r="AA28" s="74"/>
      <c r="AB28" s="74"/>
      <c r="AC28" s="74"/>
      <c r="AD28" s="74"/>
      <c r="AE28" s="74"/>
      <c r="AF28" s="74"/>
      <c r="AG28" s="93"/>
      <c r="AH28" s="93"/>
      <c r="BN28" s="74"/>
      <c r="BO28" s="463"/>
      <c r="BP28" s="125"/>
      <c r="BQ28" s="125"/>
      <c r="BR28" s="125"/>
      <c r="BS28" s="125"/>
      <c r="CT28" s="79"/>
      <c r="CU28" s="79"/>
      <c r="CV28" s="79"/>
      <c r="CW28" s="79"/>
      <c r="CX28" s="79"/>
      <c r="DG28" s="79"/>
      <c r="DH28" s="79"/>
      <c r="DI28" s="79"/>
      <c r="DJ28" s="79"/>
      <c r="DK28" s="79"/>
      <c r="DV28" s="464"/>
      <c r="DW28" s="464"/>
      <c r="DX28" s="465"/>
      <c r="DY28" s="465"/>
      <c r="DZ28" s="465"/>
      <c r="EA28" s="465"/>
      <c r="EB28" s="466"/>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row>
    <row r="29" spans="1:254" s="75" customFormat="1">
      <c r="A29" s="211"/>
      <c r="B29" s="74"/>
      <c r="C29" s="74"/>
      <c r="D29" s="74"/>
      <c r="E29" s="74"/>
      <c r="F29" s="460"/>
      <c r="G29" s="74"/>
      <c r="H29" s="461"/>
      <c r="I29" s="461"/>
      <c r="J29" s="74"/>
      <c r="K29" s="462"/>
      <c r="L29" s="74"/>
      <c r="S29" s="74"/>
      <c r="T29" s="74"/>
      <c r="U29" s="74"/>
      <c r="V29" s="74"/>
      <c r="W29" s="74"/>
      <c r="X29" s="74"/>
      <c r="Y29" s="74"/>
      <c r="Z29" s="74"/>
      <c r="AA29" s="74"/>
      <c r="AB29" s="74"/>
      <c r="AC29" s="74"/>
      <c r="AD29" s="74"/>
      <c r="AE29" s="74"/>
      <c r="AF29" s="74"/>
      <c r="AG29" s="93"/>
      <c r="AH29" s="93"/>
      <c r="BN29" s="74"/>
      <c r="BO29" s="463"/>
      <c r="BP29" s="125"/>
      <c r="BQ29" s="125"/>
      <c r="BR29" s="125"/>
      <c r="BS29" s="125"/>
      <c r="CT29" s="79"/>
      <c r="CU29" s="79"/>
      <c r="CV29" s="79"/>
      <c r="CW29" s="79"/>
      <c r="CX29" s="79"/>
      <c r="DG29" s="79"/>
      <c r="DH29" s="79"/>
      <c r="DI29" s="79"/>
      <c r="DJ29" s="79"/>
      <c r="DK29" s="79"/>
      <c r="DV29" s="464"/>
      <c r="DW29" s="464"/>
      <c r="DX29" s="465"/>
      <c r="DY29" s="465"/>
      <c r="DZ29" s="465"/>
      <c r="EA29" s="465"/>
      <c r="EB29" s="466"/>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row>
    <row r="30" spans="1:254" s="75" customFormat="1">
      <c r="A30" s="211"/>
      <c r="B30" s="74"/>
      <c r="C30" s="74"/>
      <c r="D30" s="74"/>
      <c r="E30" s="74"/>
      <c r="F30" s="460"/>
      <c r="G30" s="74"/>
      <c r="H30" s="461"/>
      <c r="I30" s="461"/>
      <c r="J30" s="74"/>
      <c r="K30" s="462"/>
      <c r="L30" s="74"/>
      <c r="S30" s="74"/>
      <c r="T30" s="74"/>
      <c r="U30" s="74"/>
      <c r="V30" s="74"/>
      <c r="W30" s="74"/>
      <c r="X30" s="74"/>
      <c r="Y30" s="74"/>
      <c r="Z30" s="74"/>
      <c r="AA30" s="74"/>
      <c r="AB30" s="74"/>
      <c r="AC30" s="74"/>
      <c r="AD30" s="74"/>
      <c r="AE30" s="74"/>
      <c r="AF30" s="74"/>
      <c r="AG30" s="93"/>
      <c r="AH30" s="93"/>
      <c r="BN30" s="74"/>
      <c r="BO30" s="463"/>
      <c r="BP30" s="125"/>
      <c r="BQ30" s="125"/>
      <c r="BR30" s="125"/>
      <c r="BS30" s="125"/>
      <c r="CT30" s="79"/>
      <c r="CU30" s="79"/>
      <c r="CV30" s="79"/>
      <c r="CW30" s="79"/>
      <c r="CX30" s="79"/>
      <c r="DG30" s="79"/>
      <c r="DH30" s="79"/>
      <c r="DI30" s="79"/>
      <c r="DJ30" s="79"/>
      <c r="DK30" s="79"/>
      <c r="DV30" s="464"/>
      <c r="DW30" s="464"/>
      <c r="DX30" s="465"/>
      <c r="DY30" s="465"/>
      <c r="DZ30" s="465"/>
      <c r="EA30" s="465"/>
      <c r="EB30" s="466"/>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row>
    <row r="31" spans="1:254" s="75" customFormat="1">
      <c r="A31" s="211"/>
      <c r="B31" s="74"/>
      <c r="C31" s="74"/>
      <c r="D31" s="74"/>
      <c r="E31" s="74"/>
      <c r="F31" s="460"/>
      <c r="G31" s="74"/>
      <c r="H31" s="461"/>
      <c r="I31" s="461"/>
      <c r="J31" s="74"/>
      <c r="K31" s="462"/>
      <c r="L31" s="74"/>
      <c r="S31" s="74"/>
      <c r="T31" s="74"/>
      <c r="U31" s="74"/>
      <c r="V31" s="74"/>
      <c r="W31" s="74"/>
      <c r="X31" s="74"/>
      <c r="Y31" s="74"/>
      <c r="Z31" s="74"/>
      <c r="AA31" s="74"/>
      <c r="AB31" s="74"/>
      <c r="AC31" s="74"/>
      <c r="AD31" s="74"/>
      <c r="AE31" s="74"/>
      <c r="AF31" s="74"/>
      <c r="AG31" s="93"/>
      <c r="AH31" s="93"/>
      <c r="BN31" s="74"/>
      <c r="BO31" s="463"/>
      <c r="BP31" s="125"/>
      <c r="BQ31" s="125"/>
      <c r="BR31" s="125"/>
      <c r="BS31" s="125"/>
      <c r="CT31" s="79"/>
      <c r="CU31" s="79"/>
      <c r="CV31" s="79"/>
      <c r="CW31" s="79"/>
      <c r="CX31" s="79"/>
      <c r="DG31" s="79"/>
      <c r="DH31" s="79"/>
      <c r="DI31" s="79"/>
      <c r="DJ31" s="79"/>
      <c r="DK31" s="79"/>
      <c r="DV31" s="464"/>
      <c r="DW31" s="464"/>
      <c r="DX31" s="465"/>
      <c r="DY31" s="465"/>
      <c r="DZ31" s="465"/>
      <c r="EA31" s="465"/>
      <c r="EB31" s="466"/>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row>
    <row r="32" spans="1:254" s="75" customFormat="1">
      <c r="A32" s="211"/>
      <c r="B32" s="74"/>
      <c r="C32" s="74"/>
      <c r="D32" s="74"/>
      <c r="E32" s="74"/>
      <c r="F32" s="460"/>
      <c r="G32" s="74"/>
      <c r="H32" s="461"/>
      <c r="I32" s="461"/>
      <c r="J32" s="74"/>
      <c r="K32" s="462"/>
      <c r="L32" s="74"/>
      <c r="S32" s="74"/>
      <c r="T32" s="74"/>
      <c r="U32" s="74"/>
      <c r="V32" s="74"/>
      <c r="W32" s="74"/>
      <c r="X32" s="74"/>
      <c r="Y32" s="74"/>
      <c r="Z32" s="74"/>
      <c r="AA32" s="74"/>
      <c r="AB32" s="74"/>
      <c r="AC32" s="74"/>
      <c r="AD32" s="74"/>
      <c r="AE32" s="74"/>
      <c r="AF32" s="74"/>
      <c r="AG32" s="93"/>
      <c r="AH32" s="93"/>
      <c r="BN32" s="74"/>
      <c r="BO32" s="463"/>
      <c r="BP32" s="125"/>
      <c r="BQ32" s="125"/>
      <c r="BR32" s="125"/>
      <c r="BS32" s="125"/>
      <c r="CT32" s="79"/>
      <c r="CU32" s="79"/>
      <c r="CV32" s="79"/>
      <c r="CW32" s="79"/>
      <c r="CX32" s="79"/>
      <c r="DG32" s="79"/>
      <c r="DH32" s="79"/>
      <c r="DI32" s="79"/>
      <c r="DJ32" s="79"/>
      <c r="DK32" s="79"/>
      <c r="DV32" s="464"/>
      <c r="DW32" s="464"/>
      <c r="DX32" s="465"/>
      <c r="DY32" s="465"/>
      <c r="DZ32" s="465"/>
      <c r="EA32" s="465"/>
      <c r="EB32" s="466"/>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row>
    <row r="33" spans="1:254" s="75" customFormat="1">
      <c r="A33" s="211"/>
      <c r="B33" s="74"/>
      <c r="C33" s="74"/>
      <c r="D33" s="74"/>
      <c r="E33" s="74"/>
      <c r="F33" s="460"/>
      <c r="G33" s="74"/>
      <c r="H33" s="461"/>
      <c r="I33" s="461"/>
      <c r="J33" s="74"/>
      <c r="K33" s="462"/>
      <c r="L33" s="74"/>
      <c r="S33" s="74"/>
      <c r="T33" s="74"/>
      <c r="U33" s="74"/>
      <c r="V33" s="74"/>
      <c r="W33" s="74"/>
      <c r="X33" s="74"/>
      <c r="Y33" s="74"/>
      <c r="Z33" s="74"/>
      <c r="AA33" s="74"/>
      <c r="AB33" s="74"/>
      <c r="AC33" s="74"/>
      <c r="AD33" s="74"/>
      <c r="AE33" s="74"/>
      <c r="AF33" s="74"/>
      <c r="AG33" s="93"/>
      <c r="AH33" s="93"/>
      <c r="BN33" s="74"/>
      <c r="BO33" s="463"/>
      <c r="BP33" s="125"/>
      <c r="BQ33" s="125"/>
      <c r="BR33" s="125"/>
      <c r="BS33" s="125"/>
      <c r="CT33" s="79"/>
      <c r="CU33" s="79"/>
      <c r="CV33" s="79"/>
      <c r="CW33" s="79"/>
      <c r="CX33" s="79"/>
      <c r="DG33" s="79"/>
      <c r="DH33" s="79"/>
      <c r="DI33" s="79"/>
      <c r="DJ33" s="79"/>
      <c r="DK33" s="79"/>
      <c r="DV33" s="464"/>
      <c r="DW33" s="464"/>
      <c r="DX33" s="465"/>
      <c r="DY33" s="465"/>
      <c r="DZ33" s="465"/>
      <c r="EA33" s="465"/>
      <c r="EB33" s="466"/>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row>
    <row r="34" spans="1:254" s="75" customFormat="1">
      <c r="A34" s="211"/>
      <c r="B34" s="74"/>
      <c r="C34" s="74"/>
      <c r="D34" s="74"/>
      <c r="E34" s="74"/>
      <c r="F34" s="460"/>
      <c r="G34" s="74"/>
      <c r="H34" s="461"/>
      <c r="I34" s="461"/>
      <c r="J34" s="74"/>
      <c r="K34" s="462"/>
      <c r="L34" s="74"/>
      <c r="S34" s="74"/>
      <c r="T34" s="74"/>
      <c r="U34" s="74"/>
      <c r="V34" s="74"/>
      <c r="W34" s="74"/>
      <c r="X34" s="74"/>
      <c r="Y34" s="74"/>
      <c r="Z34" s="74"/>
      <c r="AA34" s="74"/>
      <c r="AB34" s="74"/>
      <c r="AC34" s="74"/>
      <c r="AD34" s="74"/>
      <c r="AE34" s="74"/>
      <c r="AF34" s="74"/>
      <c r="AG34" s="93"/>
      <c r="AH34" s="93"/>
      <c r="BN34" s="74"/>
      <c r="BO34" s="463"/>
      <c r="BP34" s="125"/>
      <c r="BQ34" s="125"/>
      <c r="BR34" s="125"/>
      <c r="BS34" s="125"/>
      <c r="CT34" s="79"/>
      <c r="CU34" s="79"/>
      <c r="CV34" s="79"/>
      <c r="CW34" s="79"/>
      <c r="CX34" s="79"/>
      <c r="DG34" s="79"/>
      <c r="DH34" s="79"/>
      <c r="DI34" s="79"/>
      <c r="DJ34" s="79"/>
      <c r="DK34" s="79"/>
      <c r="DV34" s="464"/>
      <c r="DW34" s="464"/>
      <c r="DX34" s="465"/>
      <c r="DY34" s="465"/>
      <c r="DZ34" s="465"/>
      <c r="EA34" s="465"/>
      <c r="EB34" s="466"/>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row>
    <row r="35" spans="1:254" s="75" customFormat="1">
      <c r="A35" s="211"/>
      <c r="B35" s="74"/>
      <c r="C35" s="74"/>
      <c r="D35" s="74"/>
      <c r="E35" s="74"/>
      <c r="F35" s="460"/>
      <c r="G35" s="74"/>
      <c r="H35" s="461"/>
      <c r="I35" s="461"/>
      <c r="J35" s="74"/>
      <c r="K35" s="462"/>
      <c r="L35" s="74"/>
      <c r="S35" s="74"/>
      <c r="T35" s="74"/>
      <c r="U35" s="74"/>
      <c r="V35" s="74"/>
      <c r="W35" s="74"/>
      <c r="X35" s="74"/>
      <c r="Y35" s="74"/>
      <c r="Z35" s="74"/>
      <c r="AA35" s="74"/>
      <c r="AB35" s="74"/>
      <c r="AC35" s="74"/>
      <c r="AD35" s="74"/>
      <c r="AE35" s="74"/>
      <c r="AF35" s="74"/>
      <c r="AG35" s="93"/>
      <c r="AH35" s="93"/>
      <c r="BN35" s="74"/>
      <c r="BO35" s="463"/>
      <c r="BP35" s="125"/>
      <c r="BQ35" s="125"/>
      <c r="BR35" s="125"/>
      <c r="BS35" s="125"/>
      <c r="CT35" s="79"/>
      <c r="CU35" s="79"/>
      <c r="CV35" s="79"/>
      <c r="CW35" s="79"/>
      <c r="CX35" s="79"/>
      <c r="DG35" s="79"/>
      <c r="DH35" s="79"/>
      <c r="DI35" s="79"/>
      <c r="DJ35" s="79"/>
      <c r="DK35" s="79"/>
      <c r="DV35" s="464"/>
      <c r="DW35" s="464"/>
      <c r="DX35" s="465"/>
      <c r="DY35" s="465"/>
      <c r="DZ35" s="465"/>
      <c r="EA35" s="465"/>
      <c r="EB35" s="466"/>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row>
    <row r="36" spans="1:254" s="75" customFormat="1">
      <c r="A36" s="211"/>
      <c r="B36" s="74"/>
      <c r="C36" s="74"/>
      <c r="D36" s="74"/>
      <c r="E36" s="74"/>
      <c r="F36" s="460"/>
      <c r="G36" s="74"/>
      <c r="H36" s="461"/>
      <c r="I36" s="461"/>
      <c r="J36" s="74"/>
      <c r="K36" s="462"/>
      <c r="L36" s="74"/>
      <c r="S36" s="74"/>
      <c r="T36" s="74"/>
      <c r="U36" s="74"/>
      <c r="V36" s="74"/>
      <c r="W36" s="74"/>
      <c r="X36" s="74"/>
      <c r="Y36" s="74"/>
      <c r="Z36" s="74"/>
      <c r="AA36" s="74"/>
      <c r="AB36" s="74"/>
      <c r="AC36" s="74"/>
      <c r="AD36" s="74"/>
      <c r="AE36" s="74"/>
      <c r="AF36" s="74"/>
      <c r="AG36" s="93"/>
      <c r="AH36" s="93"/>
      <c r="BN36" s="74"/>
      <c r="BO36" s="463"/>
      <c r="BP36" s="125"/>
      <c r="BQ36" s="125"/>
      <c r="BR36" s="125"/>
      <c r="BS36" s="125"/>
      <c r="CT36" s="79"/>
      <c r="CU36" s="79"/>
      <c r="CV36" s="79"/>
      <c r="CW36" s="79"/>
      <c r="CX36" s="79"/>
      <c r="DG36" s="79"/>
      <c r="DH36" s="79"/>
      <c r="DI36" s="79"/>
      <c r="DJ36" s="79"/>
      <c r="DK36" s="79"/>
      <c r="DV36" s="464"/>
      <c r="DW36" s="464"/>
      <c r="DX36" s="465"/>
      <c r="DY36" s="465"/>
      <c r="DZ36" s="465"/>
      <c r="EA36" s="465"/>
      <c r="EB36" s="466"/>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row>
    <row r="37" spans="1:254" s="75" customFormat="1">
      <c r="A37" s="211"/>
      <c r="B37" s="74"/>
      <c r="C37" s="74"/>
      <c r="D37" s="74"/>
      <c r="E37" s="74"/>
      <c r="F37" s="460"/>
      <c r="G37" s="74"/>
      <c r="H37" s="461"/>
      <c r="I37" s="461"/>
      <c r="J37" s="74"/>
      <c r="K37" s="462"/>
      <c r="L37" s="74"/>
      <c r="S37" s="74"/>
      <c r="T37" s="74"/>
      <c r="U37" s="74"/>
      <c r="V37" s="74"/>
      <c r="W37" s="74"/>
      <c r="X37" s="74"/>
      <c r="Y37" s="74"/>
      <c r="Z37" s="74"/>
      <c r="AA37" s="74"/>
      <c r="AB37" s="74"/>
      <c r="AC37" s="74"/>
      <c r="AD37" s="74"/>
      <c r="AE37" s="74"/>
      <c r="AF37" s="74"/>
      <c r="AG37" s="93"/>
      <c r="AH37" s="93"/>
      <c r="BN37" s="74"/>
      <c r="BO37" s="463"/>
      <c r="BP37" s="125"/>
      <c r="BQ37" s="125"/>
      <c r="BR37" s="125"/>
      <c r="BS37" s="125"/>
      <c r="CT37" s="79"/>
      <c r="CU37" s="79"/>
      <c r="CV37" s="79"/>
      <c r="CW37" s="79"/>
      <c r="CX37" s="79"/>
      <c r="DG37" s="79"/>
      <c r="DH37" s="79"/>
      <c r="DI37" s="79"/>
      <c r="DJ37" s="79"/>
      <c r="DK37" s="79"/>
      <c r="DV37" s="464"/>
      <c r="DW37" s="464"/>
      <c r="DX37" s="465"/>
      <c r="DY37" s="465"/>
      <c r="DZ37" s="465"/>
      <c r="EA37" s="465"/>
      <c r="EB37" s="466"/>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row>
    <row r="38" spans="1:254" s="75" customFormat="1">
      <c r="A38" s="211"/>
      <c r="B38" s="74"/>
      <c r="C38" s="74"/>
      <c r="D38" s="74"/>
      <c r="E38" s="74"/>
      <c r="F38" s="460"/>
      <c r="G38" s="74"/>
      <c r="H38" s="461"/>
      <c r="I38" s="461"/>
      <c r="J38" s="74"/>
      <c r="K38" s="462"/>
      <c r="L38" s="74"/>
      <c r="S38" s="74"/>
      <c r="T38" s="74"/>
      <c r="U38" s="74"/>
      <c r="V38" s="74"/>
      <c r="W38" s="74"/>
      <c r="X38" s="74"/>
      <c r="Y38" s="74"/>
      <c r="Z38" s="74"/>
      <c r="AA38" s="74"/>
      <c r="AB38" s="74"/>
      <c r="AC38" s="74"/>
      <c r="AD38" s="74"/>
      <c r="AE38" s="74"/>
      <c r="AF38" s="74"/>
      <c r="AG38" s="93"/>
      <c r="AH38" s="93"/>
      <c r="BN38" s="74"/>
      <c r="BO38" s="463"/>
      <c r="BP38" s="125"/>
      <c r="BQ38" s="125"/>
      <c r="BR38" s="125"/>
      <c r="BS38" s="125"/>
      <c r="CT38" s="79"/>
      <c r="CU38" s="79"/>
      <c r="CV38" s="79"/>
      <c r="CW38" s="79"/>
      <c r="CX38" s="79"/>
      <c r="DG38" s="79"/>
      <c r="DH38" s="79"/>
      <c r="DI38" s="79"/>
      <c r="DJ38" s="79"/>
      <c r="DK38" s="79"/>
      <c r="DV38" s="464"/>
      <c r="DW38" s="464"/>
      <c r="DX38" s="465"/>
      <c r="DY38" s="465"/>
      <c r="DZ38" s="465"/>
      <c r="EA38" s="465"/>
      <c r="EB38" s="466"/>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row>
    <row r="39" spans="1:254" s="75" customFormat="1">
      <c r="A39" s="211"/>
      <c r="B39" s="74"/>
      <c r="C39" s="74"/>
      <c r="D39" s="74"/>
      <c r="E39" s="74"/>
      <c r="F39" s="460"/>
      <c r="G39" s="74"/>
      <c r="H39" s="461"/>
      <c r="I39" s="461"/>
      <c r="J39" s="74"/>
      <c r="K39" s="462"/>
      <c r="L39" s="74"/>
      <c r="S39" s="74"/>
      <c r="T39" s="74"/>
      <c r="U39" s="74"/>
      <c r="V39" s="74"/>
      <c r="W39" s="74"/>
      <c r="X39" s="74"/>
      <c r="Y39" s="74"/>
      <c r="Z39" s="74"/>
      <c r="AA39" s="74"/>
      <c r="AB39" s="74"/>
      <c r="AC39" s="74"/>
      <c r="AD39" s="74"/>
      <c r="AE39" s="74"/>
      <c r="AF39" s="74"/>
      <c r="AG39" s="93"/>
      <c r="AH39" s="93"/>
      <c r="BN39" s="74"/>
      <c r="BO39" s="463"/>
      <c r="BP39" s="125"/>
      <c r="BQ39" s="125"/>
      <c r="BR39" s="125"/>
      <c r="BS39" s="125"/>
      <c r="CT39" s="79"/>
      <c r="CU39" s="79"/>
      <c r="CV39" s="79"/>
      <c r="CW39" s="79"/>
      <c r="CX39" s="79"/>
      <c r="DG39" s="79"/>
      <c r="DH39" s="79"/>
      <c r="DI39" s="79"/>
      <c r="DJ39" s="79"/>
      <c r="DK39" s="79"/>
      <c r="DV39" s="464"/>
      <c r="DW39" s="464"/>
      <c r="DX39" s="465"/>
      <c r="DY39" s="465"/>
      <c r="DZ39" s="465"/>
      <c r="EA39" s="465"/>
      <c r="EB39" s="466"/>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row>
    <row r="40" spans="1:254" s="75" customFormat="1">
      <c r="A40" s="211"/>
      <c r="B40" s="74"/>
      <c r="C40" s="74"/>
      <c r="D40" s="74"/>
      <c r="E40" s="74"/>
      <c r="F40" s="460"/>
      <c r="G40" s="74"/>
      <c r="H40" s="461"/>
      <c r="I40" s="461"/>
      <c r="J40" s="74"/>
      <c r="K40" s="462"/>
      <c r="L40" s="74"/>
      <c r="S40" s="74"/>
      <c r="T40" s="74"/>
      <c r="U40" s="74"/>
      <c r="V40" s="74"/>
      <c r="W40" s="74"/>
      <c r="X40" s="74"/>
      <c r="Y40" s="74"/>
      <c r="Z40" s="74"/>
      <c r="AA40" s="74"/>
      <c r="AB40" s="74"/>
      <c r="AC40" s="74"/>
      <c r="AD40" s="74"/>
      <c r="AE40" s="74"/>
      <c r="AF40" s="74"/>
      <c r="AG40" s="93"/>
      <c r="AH40" s="93"/>
      <c r="BN40" s="74"/>
      <c r="BO40" s="463"/>
      <c r="BP40" s="125"/>
      <c r="BQ40" s="125"/>
      <c r="BR40" s="125"/>
      <c r="BS40" s="125"/>
      <c r="CT40" s="79"/>
      <c r="CU40" s="79"/>
      <c r="CV40" s="79"/>
      <c r="CW40" s="79"/>
      <c r="CX40" s="79"/>
      <c r="DG40" s="79"/>
      <c r="DH40" s="79"/>
      <c r="DI40" s="79"/>
      <c r="DJ40" s="79"/>
      <c r="DK40" s="79"/>
      <c r="DV40" s="464"/>
      <c r="DW40" s="464"/>
      <c r="DX40" s="465"/>
      <c r="DY40" s="465"/>
      <c r="DZ40" s="465"/>
      <c r="EA40" s="465"/>
      <c r="EB40" s="466"/>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row>
    <row r="41" spans="1:254" s="75" customFormat="1">
      <c r="A41" s="211"/>
      <c r="B41" s="74"/>
      <c r="C41" s="74"/>
      <c r="D41" s="74"/>
      <c r="E41" s="74"/>
      <c r="F41" s="460"/>
      <c r="G41" s="74"/>
      <c r="H41" s="461"/>
      <c r="I41" s="461"/>
      <c r="J41" s="74"/>
      <c r="K41" s="462"/>
      <c r="L41" s="74"/>
      <c r="S41" s="74"/>
      <c r="T41" s="74"/>
      <c r="U41" s="74"/>
      <c r="V41" s="74"/>
      <c r="W41" s="74"/>
      <c r="X41" s="74"/>
      <c r="Y41" s="74"/>
      <c r="Z41" s="74"/>
      <c r="AA41" s="74"/>
      <c r="AB41" s="74"/>
      <c r="AC41" s="74"/>
      <c r="AD41" s="74"/>
      <c r="AE41" s="74"/>
      <c r="AF41" s="74"/>
      <c r="AG41" s="93"/>
      <c r="AH41" s="93"/>
      <c r="BN41" s="74"/>
      <c r="BO41" s="463"/>
      <c r="BP41" s="125"/>
      <c r="BQ41" s="125"/>
      <c r="BR41" s="125"/>
      <c r="BS41" s="125"/>
      <c r="CT41" s="79"/>
      <c r="CU41" s="79"/>
      <c r="CV41" s="79"/>
      <c r="CW41" s="79"/>
      <c r="CX41" s="79"/>
      <c r="DG41" s="79"/>
      <c r="DH41" s="79"/>
      <c r="DI41" s="79"/>
      <c r="DJ41" s="79"/>
      <c r="DK41" s="79"/>
      <c r="DV41" s="464"/>
      <c r="DW41" s="464"/>
      <c r="DX41" s="465"/>
      <c r="DY41" s="465"/>
      <c r="DZ41" s="465"/>
      <c r="EA41" s="465"/>
      <c r="EB41" s="466"/>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row>
    <row r="42" spans="1:254" s="75" customFormat="1">
      <c r="A42" s="211"/>
      <c r="B42" s="74"/>
      <c r="C42" s="74"/>
      <c r="D42" s="74"/>
      <c r="E42" s="74"/>
      <c r="F42" s="460"/>
      <c r="G42" s="74"/>
      <c r="H42" s="461"/>
      <c r="I42" s="461"/>
      <c r="J42" s="74"/>
      <c r="K42" s="462"/>
      <c r="L42" s="74"/>
      <c r="S42" s="74"/>
      <c r="T42" s="74"/>
      <c r="U42" s="74"/>
      <c r="V42" s="74"/>
      <c r="W42" s="74"/>
      <c r="X42" s="74"/>
      <c r="Y42" s="74"/>
      <c r="Z42" s="74"/>
      <c r="AA42" s="74"/>
      <c r="AB42" s="74"/>
      <c r="AC42" s="74"/>
      <c r="AD42" s="74"/>
      <c r="AE42" s="74"/>
      <c r="AF42" s="74"/>
      <c r="AG42" s="93"/>
      <c r="AH42" s="93"/>
      <c r="BN42" s="74"/>
      <c r="BO42" s="463"/>
      <c r="BP42" s="125"/>
      <c r="BQ42" s="125"/>
      <c r="BR42" s="125"/>
      <c r="BS42" s="125"/>
      <c r="CT42" s="79"/>
      <c r="CU42" s="79"/>
      <c r="CV42" s="79"/>
      <c r="CW42" s="79"/>
      <c r="CX42" s="79"/>
      <c r="DG42" s="79"/>
      <c r="DH42" s="79"/>
      <c r="DI42" s="79"/>
      <c r="DJ42" s="79"/>
      <c r="DK42" s="79"/>
      <c r="DV42" s="464"/>
      <c r="DW42" s="464"/>
      <c r="DX42" s="465"/>
      <c r="DY42" s="465"/>
      <c r="DZ42" s="465"/>
      <c r="EA42" s="465"/>
      <c r="EB42" s="466"/>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row>
    <row r="43" spans="1:254" s="75" customFormat="1">
      <c r="A43" s="211"/>
      <c r="B43" s="74"/>
      <c r="C43" s="74"/>
      <c r="D43" s="74"/>
      <c r="E43" s="74"/>
      <c r="F43" s="460"/>
      <c r="G43" s="74"/>
      <c r="H43" s="461"/>
      <c r="I43" s="461"/>
      <c r="J43" s="74"/>
      <c r="K43" s="462"/>
      <c r="L43" s="74"/>
      <c r="S43" s="74"/>
      <c r="T43" s="74"/>
      <c r="U43" s="74"/>
      <c r="V43" s="74"/>
      <c r="W43" s="74"/>
      <c r="X43" s="74"/>
      <c r="Y43" s="74"/>
      <c r="Z43" s="74"/>
      <c r="AA43" s="74"/>
      <c r="AB43" s="74"/>
      <c r="AC43" s="74"/>
      <c r="AD43" s="74"/>
      <c r="AE43" s="74"/>
      <c r="AF43" s="74"/>
      <c r="AG43" s="93"/>
      <c r="AH43" s="93"/>
      <c r="BN43" s="74"/>
      <c r="BO43" s="463"/>
      <c r="BP43" s="125"/>
      <c r="BQ43" s="125"/>
      <c r="BR43" s="125"/>
      <c r="BS43" s="125"/>
      <c r="CT43" s="79"/>
      <c r="CU43" s="79"/>
      <c r="CV43" s="79"/>
      <c r="CW43" s="79"/>
      <c r="CX43" s="79"/>
      <c r="DG43" s="79"/>
      <c r="DH43" s="79"/>
      <c r="DI43" s="79"/>
      <c r="DJ43" s="79"/>
      <c r="DK43" s="79"/>
      <c r="DV43" s="464"/>
      <c r="DW43" s="464"/>
      <c r="DX43" s="465"/>
      <c r="DY43" s="465"/>
      <c r="DZ43" s="465"/>
      <c r="EA43" s="465"/>
      <c r="EB43" s="466"/>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c r="IM43" s="76"/>
      <c r="IN43" s="76"/>
      <c r="IO43" s="76"/>
      <c r="IP43" s="76"/>
      <c r="IQ43" s="76"/>
      <c r="IR43" s="76"/>
      <c r="IS43" s="76"/>
      <c r="IT43" s="76"/>
    </row>
    <row r="44" spans="1:254" s="75" customFormat="1">
      <c r="A44" s="211"/>
      <c r="B44" s="74"/>
      <c r="C44" s="74"/>
      <c r="D44" s="74"/>
      <c r="E44" s="74"/>
      <c r="F44" s="460"/>
      <c r="G44" s="74"/>
      <c r="H44" s="461"/>
      <c r="I44" s="461"/>
      <c r="J44" s="74"/>
      <c r="K44" s="462"/>
      <c r="L44" s="74"/>
      <c r="S44" s="74"/>
      <c r="T44" s="74"/>
      <c r="U44" s="74"/>
      <c r="V44" s="74"/>
      <c r="W44" s="74"/>
      <c r="X44" s="74"/>
      <c r="Y44" s="74"/>
      <c r="Z44" s="74"/>
      <c r="AA44" s="74"/>
      <c r="AB44" s="74"/>
      <c r="AC44" s="74"/>
      <c r="AD44" s="74"/>
      <c r="AE44" s="74"/>
      <c r="AF44" s="74"/>
      <c r="AG44" s="93"/>
      <c r="AH44" s="93"/>
      <c r="BN44" s="74"/>
      <c r="BO44" s="463"/>
      <c r="BP44" s="125"/>
      <c r="BQ44" s="125"/>
      <c r="BR44" s="125"/>
      <c r="BS44" s="125"/>
      <c r="CT44" s="79"/>
      <c r="CU44" s="79"/>
      <c r="CV44" s="79"/>
      <c r="CW44" s="79"/>
      <c r="CX44" s="79"/>
      <c r="DG44" s="79"/>
      <c r="DH44" s="79"/>
      <c r="DI44" s="79"/>
      <c r="DJ44" s="79"/>
      <c r="DK44" s="79"/>
      <c r="DV44" s="464"/>
      <c r="DW44" s="464"/>
      <c r="DX44" s="465"/>
      <c r="DY44" s="465"/>
      <c r="DZ44" s="465"/>
      <c r="EA44" s="465"/>
      <c r="EB44" s="466"/>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c r="IM44" s="76"/>
      <c r="IN44" s="76"/>
      <c r="IO44" s="76"/>
      <c r="IP44" s="76"/>
      <c r="IQ44" s="76"/>
      <c r="IR44" s="76"/>
      <c r="IS44" s="76"/>
      <c r="IT44" s="76"/>
    </row>
    <row r="45" spans="1:254" s="75" customFormat="1">
      <c r="A45" s="211"/>
      <c r="B45" s="74"/>
      <c r="C45" s="74"/>
      <c r="D45" s="74"/>
      <c r="E45" s="74"/>
      <c r="F45" s="460"/>
      <c r="G45" s="74"/>
      <c r="H45" s="461"/>
      <c r="I45" s="461"/>
      <c r="J45" s="74"/>
      <c r="K45" s="462"/>
      <c r="L45" s="74"/>
      <c r="S45" s="74"/>
      <c r="T45" s="74"/>
      <c r="U45" s="74"/>
      <c r="V45" s="74"/>
      <c r="W45" s="74"/>
      <c r="X45" s="74"/>
      <c r="Y45" s="74"/>
      <c r="Z45" s="74"/>
      <c r="AA45" s="74"/>
      <c r="AB45" s="74"/>
      <c r="AC45" s="74"/>
      <c r="AD45" s="74"/>
      <c r="AE45" s="74"/>
      <c r="AF45" s="74"/>
      <c r="AG45" s="93"/>
      <c r="AH45" s="93"/>
      <c r="BN45" s="74"/>
      <c r="BO45" s="463"/>
      <c r="BP45" s="125"/>
      <c r="BQ45" s="125"/>
      <c r="BR45" s="125"/>
      <c r="BS45" s="125"/>
      <c r="CT45" s="79"/>
      <c r="CU45" s="79"/>
      <c r="CV45" s="79"/>
      <c r="CW45" s="79"/>
      <c r="CX45" s="79"/>
      <c r="DG45" s="79"/>
      <c r="DH45" s="79"/>
      <c r="DI45" s="79"/>
      <c r="DJ45" s="79"/>
      <c r="DK45" s="79"/>
      <c r="DV45" s="464"/>
      <c r="DW45" s="464"/>
      <c r="DX45" s="465"/>
      <c r="DY45" s="465"/>
      <c r="DZ45" s="465"/>
      <c r="EA45" s="465"/>
      <c r="EB45" s="466"/>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c r="IM45" s="76"/>
      <c r="IN45" s="76"/>
      <c r="IO45" s="76"/>
      <c r="IP45" s="76"/>
      <c r="IQ45" s="76"/>
      <c r="IR45" s="76"/>
      <c r="IS45" s="76"/>
      <c r="IT45" s="76"/>
    </row>
    <row r="46" spans="1:254" s="75" customFormat="1">
      <c r="A46" s="211"/>
      <c r="B46" s="74"/>
      <c r="C46" s="74"/>
      <c r="D46" s="74"/>
      <c r="E46" s="74"/>
      <c r="F46" s="460"/>
      <c r="G46" s="74"/>
      <c r="H46" s="461"/>
      <c r="I46" s="461"/>
      <c r="J46" s="74"/>
      <c r="K46" s="462"/>
      <c r="L46" s="74"/>
      <c r="S46" s="74"/>
      <c r="T46" s="74"/>
      <c r="U46" s="74"/>
      <c r="V46" s="74"/>
      <c r="W46" s="74"/>
      <c r="X46" s="74"/>
      <c r="Y46" s="74"/>
      <c r="Z46" s="74"/>
      <c r="AA46" s="74"/>
      <c r="AB46" s="74"/>
      <c r="AC46" s="74"/>
      <c r="AD46" s="74"/>
      <c r="AE46" s="74"/>
      <c r="AF46" s="74"/>
      <c r="AG46" s="93"/>
      <c r="AH46" s="93"/>
      <c r="BN46" s="74"/>
      <c r="BO46" s="463"/>
      <c r="BP46" s="125"/>
      <c r="BQ46" s="125"/>
      <c r="BR46" s="125"/>
      <c r="BS46" s="125"/>
      <c r="CT46" s="79"/>
      <c r="CU46" s="79"/>
      <c r="CV46" s="79"/>
      <c r="CW46" s="79"/>
      <c r="CX46" s="79"/>
      <c r="DG46" s="79"/>
      <c r="DH46" s="79"/>
      <c r="DI46" s="79"/>
      <c r="DJ46" s="79"/>
      <c r="DK46" s="79"/>
      <c r="DV46" s="464"/>
      <c r="DW46" s="464"/>
      <c r="DX46" s="465"/>
      <c r="DY46" s="465"/>
      <c r="DZ46" s="465"/>
      <c r="EA46" s="465"/>
      <c r="EB46" s="466"/>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c r="IM46" s="76"/>
      <c r="IN46" s="76"/>
      <c r="IO46" s="76"/>
      <c r="IP46" s="76"/>
      <c r="IQ46" s="76"/>
      <c r="IR46" s="76"/>
      <c r="IS46" s="76"/>
      <c r="IT46" s="76"/>
    </row>
    <row r="47" spans="1:254" s="75" customFormat="1">
      <c r="A47" s="211"/>
      <c r="B47" s="74"/>
      <c r="C47" s="74"/>
      <c r="D47" s="74"/>
      <c r="E47" s="74"/>
      <c r="F47" s="460"/>
      <c r="G47" s="74"/>
      <c r="H47" s="461"/>
      <c r="I47" s="461"/>
      <c r="J47" s="74"/>
      <c r="K47" s="462"/>
      <c r="L47" s="74"/>
      <c r="S47" s="74"/>
      <c r="T47" s="74"/>
      <c r="U47" s="74"/>
      <c r="V47" s="74"/>
      <c r="W47" s="74"/>
      <c r="X47" s="74"/>
      <c r="Y47" s="74"/>
      <c r="Z47" s="74"/>
      <c r="AA47" s="74"/>
      <c r="AB47" s="74"/>
      <c r="AC47" s="74"/>
      <c r="AD47" s="74"/>
      <c r="AE47" s="74"/>
      <c r="AF47" s="74"/>
      <c r="AG47" s="93"/>
      <c r="AH47" s="93"/>
      <c r="BN47" s="74"/>
      <c r="BO47" s="463"/>
      <c r="BP47" s="125"/>
      <c r="BQ47" s="125"/>
      <c r="BR47" s="125"/>
      <c r="BS47" s="125"/>
      <c r="CT47" s="79"/>
      <c r="CU47" s="79"/>
      <c r="CV47" s="79"/>
      <c r="CW47" s="79"/>
      <c r="CX47" s="79"/>
      <c r="DG47" s="79"/>
      <c r="DH47" s="79"/>
      <c r="DI47" s="79"/>
      <c r="DJ47" s="79"/>
      <c r="DK47" s="79"/>
      <c r="DV47" s="464"/>
      <c r="DW47" s="464"/>
      <c r="DX47" s="465"/>
      <c r="DY47" s="465"/>
      <c r="DZ47" s="465"/>
      <c r="EA47" s="465"/>
      <c r="EB47" s="466"/>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c r="IM47" s="76"/>
      <c r="IN47" s="76"/>
      <c r="IO47" s="76"/>
      <c r="IP47" s="76"/>
      <c r="IQ47" s="76"/>
      <c r="IR47" s="76"/>
      <c r="IS47" s="76"/>
      <c r="IT47" s="76"/>
    </row>
    <row r="48" spans="1:254" s="75" customFormat="1">
      <c r="A48" s="211"/>
      <c r="B48" s="74"/>
      <c r="C48" s="74"/>
      <c r="D48" s="74"/>
      <c r="E48" s="74"/>
      <c r="F48" s="460"/>
      <c r="G48" s="74"/>
      <c r="H48" s="461"/>
      <c r="I48" s="461"/>
      <c r="J48" s="74"/>
      <c r="K48" s="462"/>
      <c r="L48" s="74"/>
      <c r="S48" s="74"/>
      <c r="T48" s="74"/>
      <c r="U48" s="74"/>
      <c r="V48" s="74"/>
      <c r="W48" s="74"/>
      <c r="X48" s="74"/>
      <c r="Y48" s="74"/>
      <c r="Z48" s="74"/>
      <c r="AA48" s="74"/>
      <c r="AB48" s="74"/>
      <c r="AC48" s="74"/>
      <c r="AD48" s="74"/>
      <c r="AE48" s="74"/>
      <c r="AF48" s="74"/>
      <c r="AG48" s="93"/>
      <c r="AH48" s="93"/>
      <c r="BN48" s="74"/>
      <c r="BO48" s="463"/>
      <c r="BP48" s="125"/>
      <c r="BQ48" s="125"/>
      <c r="BR48" s="125"/>
      <c r="BS48" s="125"/>
      <c r="CT48" s="79"/>
      <c r="CU48" s="79"/>
      <c r="CV48" s="79"/>
      <c r="CW48" s="79"/>
      <c r="CX48" s="79"/>
      <c r="DG48" s="79"/>
      <c r="DH48" s="79"/>
      <c r="DI48" s="79"/>
      <c r="DJ48" s="79"/>
      <c r="DK48" s="79"/>
      <c r="DV48" s="464"/>
      <c r="DW48" s="464"/>
      <c r="DX48" s="465"/>
      <c r="DY48" s="465"/>
      <c r="DZ48" s="465"/>
      <c r="EA48" s="465"/>
      <c r="EB48" s="466"/>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c r="IM48" s="76"/>
      <c r="IN48" s="76"/>
      <c r="IO48" s="76"/>
      <c r="IP48" s="76"/>
      <c r="IQ48" s="76"/>
      <c r="IR48" s="76"/>
      <c r="IS48" s="76"/>
      <c r="IT48" s="76"/>
    </row>
    <row r="49" spans="1:254" s="75" customFormat="1">
      <c r="A49" s="211"/>
      <c r="B49" s="74"/>
      <c r="C49" s="74"/>
      <c r="D49" s="74"/>
      <c r="E49" s="74"/>
      <c r="F49" s="460"/>
      <c r="G49" s="74"/>
      <c r="H49" s="461"/>
      <c r="I49" s="461"/>
      <c r="J49" s="74"/>
      <c r="K49" s="462"/>
      <c r="L49" s="74"/>
      <c r="S49" s="74"/>
      <c r="T49" s="74"/>
      <c r="U49" s="74"/>
      <c r="V49" s="74"/>
      <c r="W49" s="74"/>
      <c r="X49" s="74"/>
      <c r="Y49" s="74"/>
      <c r="Z49" s="74"/>
      <c r="AA49" s="74"/>
      <c r="AB49" s="74"/>
      <c r="AC49" s="74"/>
      <c r="AD49" s="74"/>
      <c r="AE49" s="74"/>
      <c r="AF49" s="74"/>
      <c r="AG49" s="93"/>
      <c r="AH49" s="93"/>
      <c r="BN49" s="74"/>
      <c r="BO49" s="463"/>
      <c r="BP49" s="125"/>
      <c r="BQ49" s="125"/>
      <c r="BR49" s="125"/>
      <c r="BS49" s="125"/>
      <c r="CT49" s="79"/>
      <c r="CU49" s="79"/>
      <c r="CV49" s="79"/>
      <c r="CW49" s="79"/>
      <c r="CX49" s="79"/>
      <c r="DG49" s="79"/>
      <c r="DH49" s="79"/>
      <c r="DI49" s="79"/>
      <c r="DJ49" s="79"/>
      <c r="DK49" s="79"/>
      <c r="DV49" s="464"/>
      <c r="DW49" s="464"/>
      <c r="DX49" s="465"/>
      <c r="DY49" s="465"/>
      <c r="DZ49" s="465"/>
      <c r="EA49" s="465"/>
      <c r="EB49" s="466"/>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c r="IM49" s="76"/>
      <c r="IN49" s="76"/>
      <c r="IO49" s="76"/>
      <c r="IP49" s="76"/>
      <c r="IQ49" s="76"/>
      <c r="IR49" s="76"/>
      <c r="IS49" s="76"/>
      <c r="IT49" s="76"/>
    </row>
    <row r="50" spans="1:254" s="75" customFormat="1">
      <c r="A50" s="211"/>
      <c r="B50" s="74"/>
      <c r="C50" s="74"/>
      <c r="D50" s="74"/>
      <c r="E50" s="74"/>
      <c r="F50" s="460"/>
      <c r="G50" s="74"/>
      <c r="H50" s="461"/>
      <c r="I50" s="461"/>
      <c r="J50" s="74"/>
      <c r="K50" s="462"/>
      <c r="L50" s="74"/>
      <c r="S50" s="74"/>
      <c r="T50" s="74"/>
      <c r="U50" s="74"/>
      <c r="V50" s="74"/>
      <c r="W50" s="74"/>
      <c r="X50" s="74"/>
      <c r="Y50" s="74"/>
      <c r="Z50" s="74"/>
      <c r="AA50" s="74"/>
      <c r="AB50" s="74"/>
      <c r="AC50" s="74"/>
      <c r="AD50" s="74"/>
      <c r="AE50" s="74"/>
      <c r="AF50" s="74"/>
      <c r="AG50" s="93"/>
      <c r="AH50" s="93"/>
      <c r="BN50" s="74"/>
      <c r="BO50" s="463"/>
      <c r="BP50" s="125"/>
      <c r="BQ50" s="125"/>
      <c r="BR50" s="125"/>
      <c r="BS50" s="125"/>
      <c r="CT50" s="79"/>
      <c r="CU50" s="79"/>
      <c r="CV50" s="79"/>
      <c r="CW50" s="79"/>
      <c r="CX50" s="79"/>
      <c r="DG50" s="79"/>
      <c r="DH50" s="79"/>
      <c r="DI50" s="79"/>
      <c r="DJ50" s="79"/>
      <c r="DK50" s="79"/>
      <c r="DV50" s="464"/>
      <c r="DW50" s="464"/>
      <c r="DX50" s="465"/>
      <c r="DY50" s="465"/>
      <c r="DZ50" s="465"/>
      <c r="EA50" s="465"/>
      <c r="EB50" s="466"/>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c r="IM50" s="76"/>
      <c r="IN50" s="76"/>
      <c r="IO50" s="76"/>
      <c r="IP50" s="76"/>
      <c r="IQ50" s="76"/>
      <c r="IR50" s="76"/>
      <c r="IS50" s="76"/>
      <c r="IT50" s="76"/>
    </row>
    <row r="51" spans="1:254" s="75" customFormat="1">
      <c r="A51" s="211"/>
      <c r="B51" s="74"/>
      <c r="C51" s="74"/>
      <c r="D51" s="74"/>
      <c r="E51" s="74"/>
      <c r="F51" s="460"/>
      <c r="G51" s="74"/>
      <c r="H51" s="461"/>
      <c r="I51" s="461"/>
      <c r="J51" s="74"/>
      <c r="K51" s="462"/>
      <c r="L51" s="74"/>
      <c r="S51" s="74"/>
      <c r="T51" s="74"/>
      <c r="U51" s="74"/>
      <c r="V51" s="74"/>
      <c r="W51" s="74"/>
      <c r="X51" s="74"/>
      <c r="Y51" s="74"/>
      <c r="Z51" s="74"/>
      <c r="AA51" s="74"/>
      <c r="AB51" s="74"/>
      <c r="AC51" s="74"/>
      <c r="AD51" s="74"/>
      <c r="AE51" s="74"/>
      <c r="AF51" s="74"/>
      <c r="AG51" s="93"/>
      <c r="AH51" s="93"/>
      <c r="BN51" s="74"/>
      <c r="BO51" s="463"/>
      <c r="BP51" s="125"/>
      <c r="BQ51" s="125"/>
      <c r="BR51" s="125"/>
      <c r="BS51" s="125"/>
      <c r="CT51" s="79"/>
      <c r="CU51" s="79"/>
      <c r="CV51" s="79"/>
      <c r="CW51" s="79"/>
      <c r="CX51" s="79"/>
      <c r="DG51" s="79"/>
      <c r="DH51" s="79"/>
      <c r="DI51" s="79"/>
      <c r="DJ51" s="79"/>
      <c r="DK51" s="79"/>
      <c r="DV51" s="464"/>
      <c r="DW51" s="464"/>
      <c r="DX51" s="465"/>
      <c r="DY51" s="465"/>
      <c r="DZ51" s="465"/>
      <c r="EA51" s="465"/>
      <c r="EB51" s="466"/>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c r="ID51" s="76"/>
      <c r="IE51" s="76"/>
      <c r="IF51" s="76"/>
      <c r="IG51" s="76"/>
      <c r="IH51" s="76"/>
      <c r="II51" s="76"/>
      <c r="IJ51" s="76"/>
      <c r="IK51" s="76"/>
      <c r="IL51" s="76"/>
      <c r="IM51" s="76"/>
      <c r="IN51" s="76"/>
      <c r="IO51" s="76"/>
      <c r="IP51" s="76"/>
      <c r="IQ51" s="76"/>
      <c r="IR51" s="76"/>
      <c r="IS51" s="76"/>
      <c r="IT51" s="76"/>
    </row>
    <row r="52" spans="1:254" s="75" customFormat="1">
      <c r="A52" s="211"/>
      <c r="B52" s="74"/>
      <c r="C52" s="74"/>
      <c r="D52" s="74"/>
      <c r="E52" s="74"/>
      <c r="F52" s="460"/>
      <c r="G52" s="74"/>
      <c r="H52" s="461"/>
      <c r="I52" s="461"/>
      <c r="J52" s="74"/>
      <c r="K52" s="462"/>
      <c r="L52" s="74"/>
      <c r="S52" s="74"/>
      <c r="T52" s="74"/>
      <c r="U52" s="74"/>
      <c r="V52" s="74"/>
      <c r="W52" s="74"/>
      <c r="X52" s="74"/>
      <c r="Y52" s="74"/>
      <c r="Z52" s="74"/>
      <c r="AA52" s="74"/>
      <c r="AB52" s="74"/>
      <c r="AC52" s="74"/>
      <c r="AD52" s="74"/>
      <c r="AE52" s="74"/>
      <c r="AF52" s="74"/>
      <c r="AG52" s="93"/>
      <c r="AH52" s="93"/>
      <c r="BN52" s="74"/>
      <c r="BO52" s="463"/>
      <c r="BP52" s="125"/>
      <c r="BQ52" s="125"/>
      <c r="BR52" s="125"/>
      <c r="BS52" s="125"/>
      <c r="CT52" s="79"/>
      <c r="CU52" s="79"/>
      <c r="CV52" s="79"/>
      <c r="CW52" s="79"/>
      <c r="CX52" s="79"/>
      <c r="DG52" s="79"/>
      <c r="DH52" s="79"/>
      <c r="DI52" s="79"/>
      <c r="DJ52" s="79"/>
      <c r="DK52" s="79"/>
      <c r="DV52" s="464"/>
      <c r="DW52" s="464"/>
      <c r="DX52" s="465"/>
      <c r="DY52" s="465"/>
      <c r="DZ52" s="465"/>
      <c r="EA52" s="465"/>
      <c r="EB52" s="466"/>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c r="ID52" s="76"/>
      <c r="IE52" s="76"/>
      <c r="IF52" s="76"/>
      <c r="IG52" s="76"/>
      <c r="IH52" s="76"/>
      <c r="II52" s="76"/>
      <c r="IJ52" s="76"/>
      <c r="IK52" s="76"/>
      <c r="IL52" s="76"/>
      <c r="IM52" s="76"/>
      <c r="IN52" s="76"/>
      <c r="IO52" s="76"/>
      <c r="IP52" s="76"/>
      <c r="IQ52" s="76"/>
      <c r="IR52" s="76"/>
      <c r="IS52" s="76"/>
      <c r="IT52" s="76"/>
    </row>
    <row r="53" spans="1:254" s="75" customFormat="1">
      <c r="A53" s="211"/>
      <c r="B53" s="74"/>
      <c r="C53" s="74"/>
      <c r="D53" s="74"/>
      <c r="E53" s="74"/>
      <c r="F53" s="460"/>
      <c r="G53" s="74"/>
      <c r="H53" s="461"/>
      <c r="I53" s="461"/>
      <c r="J53" s="74"/>
      <c r="K53" s="462"/>
      <c r="L53" s="74"/>
      <c r="S53" s="74"/>
      <c r="T53" s="74"/>
      <c r="U53" s="74"/>
      <c r="V53" s="74"/>
      <c r="W53" s="74"/>
      <c r="X53" s="74"/>
      <c r="Y53" s="74"/>
      <c r="Z53" s="74"/>
      <c r="AA53" s="74"/>
      <c r="AB53" s="74"/>
      <c r="AC53" s="74"/>
      <c r="AD53" s="74"/>
      <c r="AE53" s="74"/>
      <c r="AF53" s="74"/>
      <c r="AG53" s="93"/>
      <c r="AH53" s="93"/>
      <c r="BN53" s="74"/>
      <c r="BO53" s="463"/>
      <c r="BP53" s="125"/>
      <c r="BQ53" s="125"/>
      <c r="BR53" s="125"/>
      <c r="BS53" s="125"/>
      <c r="CT53" s="79"/>
      <c r="CU53" s="79"/>
      <c r="CV53" s="79"/>
      <c r="CW53" s="79"/>
      <c r="CX53" s="79"/>
      <c r="DG53" s="79"/>
      <c r="DH53" s="79"/>
      <c r="DI53" s="79"/>
      <c r="DJ53" s="79"/>
      <c r="DK53" s="79"/>
      <c r="DV53" s="464"/>
      <c r="DW53" s="464"/>
      <c r="DX53" s="465"/>
      <c r="DY53" s="465"/>
      <c r="DZ53" s="465"/>
      <c r="EA53" s="465"/>
      <c r="EB53" s="466"/>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c r="IM53" s="76"/>
      <c r="IN53" s="76"/>
      <c r="IO53" s="76"/>
      <c r="IP53" s="76"/>
      <c r="IQ53" s="76"/>
      <c r="IR53" s="76"/>
      <c r="IS53" s="76"/>
      <c r="IT53" s="76"/>
    </row>
    <row r="54" spans="1:254" s="75" customFormat="1">
      <c r="A54" s="211"/>
      <c r="B54" s="74"/>
      <c r="C54" s="74"/>
      <c r="D54" s="74"/>
      <c r="E54" s="74"/>
      <c r="F54" s="460"/>
      <c r="G54" s="74"/>
      <c r="H54" s="461"/>
      <c r="I54" s="461"/>
      <c r="J54" s="74"/>
      <c r="K54" s="462"/>
      <c r="L54" s="74"/>
      <c r="S54" s="74"/>
      <c r="T54" s="74"/>
      <c r="U54" s="74"/>
      <c r="V54" s="74"/>
      <c r="W54" s="74"/>
      <c r="X54" s="74"/>
      <c r="Y54" s="74"/>
      <c r="Z54" s="74"/>
      <c r="AA54" s="74"/>
      <c r="AB54" s="74"/>
      <c r="AC54" s="74"/>
      <c r="AD54" s="74"/>
      <c r="AE54" s="74"/>
      <c r="AF54" s="74"/>
      <c r="AG54" s="93"/>
      <c r="AH54" s="93"/>
      <c r="BN54" s="74"/>
      <c r="BO54" s="463"/>
      <c r="BP54" s="125"/>
      <c r="BQ54" s="125"/>
      <c r="BR54" s="125"/>
      <c r="BS54" s="125"/>
      <c r="CT54" s="79"/>
      <c r="CU54" s="79"/>
      <c r="CV54" s="79"/>
      <c r="CW54" s="79"/>
      <c r="CX54" s="79"/>
      <c r="DG54" s="79"/>
      <c r="DH54" s="79"/>
      <c r="DI54" s="79"/>
      <c r="DJ54" s="79"/>
      <c r="DK54" s="79"/>
      <c r="DV54" s="464"/>
      <c r="DW54" s="464"/>
      <c r="DX54" s="465"/>
      <c r="DY54" s="465"/>
      <c r="DZ54" s="465"/>
      <c r="EA54" s="465"/>
      <c r="EB54" s="466"/>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c r="IJ54" s="76"/>
      <c r="IK54" s="76"/>
      <c r="IL54" s="76"/>
      <c r="IM54" s="76"/>
      <c r="IN54" s="76"/>
      <c r="IO54" s="76"/>
      <c r="IP54" s="76"/>
      <c r="IQ54" s="76"/>
      <c r="IR54" s="76"/>
      <c r="IS54" s="76"/>
      <c r="IT54" s="76"/>
    </row>
    <row r="55" spans="1:254" s="75" customFormat="1">
      <c r="A55" s="211"/>
      <c r="B55" s="74"/>
      <c r="C55" s="74"/>
      <c r="D55" s="74"/>
      <c r="E55" s="74"/>
      <c r="F55" s="460"/>
      <c r="G55" s="74"/>
      <c r="H55" s="461"/>
      <c r="I55" s="461"/>
      <c r="J55" s="74"/>
      <c r="K55" s="462"/>
      <c r="L55" s="74"/>
      <c r="S55" s="74"/>
      <c r="T55" s="74"/>
      <c r="U55" s="74"/>
      <c r="V55" s="74"/>
      <c r="W55" s="74"/>
      <c r="X55" s="74"/>
      <c r="Y55" s="74"/>
      <c r="Z55" s="74"/>
      <c r="AA55" s="74"/>
      <c r="AB55" s="74"/>
      <c r="AC55" s="74"/>
      <c r="AD55" s="74"/>
      <c r="AE55" s="74"/>
      <c r="AF55" s="74"/>
      <c r="AG55" s="93"/>
      <c r="AH55" s="93"/>
      <c r="BN55" s="74"/>
      <c r="BO55" s="463"/>
      <c r="BP55" s="125"/>
      <c r="BQ55" s="125"/>
      <c r="BR55" s="125"/>
      <c r="BS55" s="125"/>
      <c r="CT55" s="79"/>
      <c r="CU55" s="79"/>
      <c r="CV55" s="79"/>
      <c r="CW55" s="79"/>
      <c r="CX55" s="79"/>
      <c r="DG55" s="79"/>
      <c r="DH55" s="79"/>
      <c r="DI55" s="79"/>
      <c r="DJ55" s="79"/>
      <c r="DK55" s="79"/>
      <c r="DV55" s="464"/>
      <c r="DW55" s="464"/>
      <c r="DX55" s="465"/>
      <c r="DY55" s="465"/>
      <c r="DZ55" s="465"/>
      <c r="EA55" s="465"/>
      <c r="EB55" s="466"/>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c r="IL55" s="76"/>
      <c r="IM55" s="76"/>
      <c r="IN55" s="76"/>
      <c r="IO55" s="76"/>
      <c r="IP55" s="76"/>
      <c r="IQ55" s="76"/>
      <c r="IR55" s="76"/>
      <c r="IS55" s="76"/>
      <c r="IT55" s="76"/>
    </row>
    <row r="56" spans="1:254" s="75" customFormat="1">
      <c r="A56" s="211"/>
      <c r="B56" s="74"/>
      <c r="C56" s="74"/>
      <c r="D56" s="74"/>
      <c r="E56" s="74"/>
      <c r="F56" s="460"/>
      <c r="G56" s="74"/>
      <c r="H56" s="461"/>
      <c r="I56" s="461"/>
      <c r="J56" s="74"/>
      <c r="K56" s="462"/>
      <c r="L56" s="74"/>
      <c r="S56" s="74"/>
      <c r="T56" s="74"/>
      <c r="U56" s="74"/>
      <c r="V56" s="74"/>
      <c r="W56" s="74"/>
      <c r="X56" s="74"/>
      <c r="Y56" s="74"/>
      <c r="Z56" s="74"/>
      <c r="AA56" s="74"/>
      <c r="AB56" s="74"/>
      <c r="AC56" s="74"/>
      <c r="AD56" s="74"/>
      <c r="AE56" s="74"/>
      <c r="AF56" s="74"/>
      <c r="AG56" s="93"/>
      <c r="AH56" s="93"/>
      <c r="BN56" s="74"/>
      <c r="BO56" s="463"/>
      <c r="BP56" s="125"/>
      <c r="BQ56" s="125"/>
      <c r="BR56" s="125"/>
      <c r="BS56" s="125"/>
      <c r="CT56" s="79"/>
      <c r="CU56" s="79"/>
      <c r="CV56" s="79"/>
      <c r="CW56" s="79"/>
      <c r="CX56" s="79"/>
      <c r="DG56" s="79"/>
      <c r="DH56" s="79"/>
      <c r="DI56" s="79"/>
      <c r="DJ56" s="79"/>
      <c r="DK56" s="79"/>
      <c r="DV56" s="464"/>
      <c r="DW56" s="464"/>
      <c r="DX56" s="465"/>
      <c r="DY56" s="465"/>
      <c r="DZ56" s="465"/>
      <c r="EA56" s="465"/>
      <c r="EB56" s="466"/>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c r="IM56" s="76"/>
      <c r="IN56" s="76"/>
      <c r="IO56" s="76"/>
      <c r="IP56" s="76"/>
      <c r="IQ56" s="76"/>
      <c r="IR56" s="76"/>
      <c r="IS56" s="76"/>
      <c r="IT56" s="76"/>
    </row>
    <row r="57" spans="1:254" s="75" customFormat="1">
      <c r="A57" s="211"/>
      <c r="B57" s="74"/>
      <c r="C57" s="74"/>
      <c r="D57" s="74"/>
      <c r="E57" s="74"/>
      <c r="F57" s="460"/>
      <c r="G57" s="74"/>
      <c r="H57" s="461"/>
      <c r="I57" s="461"/>
      <c r="J57" s="74"/>
      <c r="K57" s="462"/>
      <c r="L57" s="74"/>
      <c r="S57" s="74"/>
      <c r="T57" s="74"/>
      <c r="U57" s="74"/>
      <c r="V57" s="74"/>
      <c r="W57" s="74"/>
      <c r="X57" s="74"/>
      <c r="Y57" s="74"/>
      <c r="Z57" s="74"/>
      <c r="AA57" s="74"/>
      <c r="AB57" s="74"/>
      <c r="AC57" s="74"/>
      <c r="AD57" s="74"/>
      <c r="AE57" s="74"/>
      <c r="AF57" s="74"/>
      <c r="AG57" s="93"/>
      <c r="AH57" s="93"/>
      <c r="BN57" s="74"/>
      <c r="BO57" s="463"/>
      <c r="BP57" s="125"/>
      <c r="BQ57" s="125"/>
      <c r="BR57" s="125"/>
      <c r="BS57" s="125"/>
      <c r="CT57" s="79"/>
      <c r="CU57" s="79"/>
      <c r="CV57" s="79"/>
      <c r="CW57" s="79"/>
      <c r="CX57" s="79"/>
      <c r="DG57" s="79"/>
      <c r="DH57" s="79"/>
      <c r="DI57" s="79"/>
      <c r="DJ57" s="79"/>
      <c r="DK57" s="79"/>
      <c r="DV57" s="464"/>
      <c r="DW57" s="464"/>
      <c r="DX57" s="465"/>
      <c r="DY57" s="465"/>
      <c r="DZ57" s="465"/>
      <c r="EA57" s="465"/>
      <c r="EB57" s="466"/>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c r="IB57" s="76"/>
      <c r="IC57" s="76"/>
      <c r="ID57" s="76"/>
      <c r="IE57" s="76"/>
      <c r="IF57" s="76"/>
      <c r="IG57" s="76"/>
      <c r="IH57" s="76"/>
      <c r="II57" s="76"/>
      <c r="IJ57" s="76"/>
      <c r="IK57" s="76"/>
      <c r="IL57" s="76"/>
      <c r="IM57" s="76"/>
      <c r="IN57" s="76"/>
      <c r="IO57" s="76"/>
      <c r="IP57" s="76"/>
      <c r="IQ57" s="76"/>
      <c r="IR57" s="76"/>
      <c r="IS57" s="76"/>
      <c r="IT57" s="76"/>
    </row>
    <row r="58" spans="1:254" s="75" customFormat="1">
      <c r="A58" s="211"/>
      <c r="B58" s="74"/>
      <c r="C58" s="74"/>
      <c r="D58" s="74"/>
      <c r="E58" s="74"/>
      <c r="F58" s="460"/>
      <c r="G58" s="74"/>
      <c r="H58" s="461"/>
      <c r="I58" s="461"/>
      <c r="J58" s="74"/>
      <c r="K58" s="462"/>
      <c r="L58" s="74"/>
      <c r="S58" s="74"/>
      <c r="T58" s="74"/>
      <c r="U58" s="74"/>
      <c r="V58" s="74"/>
      <c r="W58" s="74"/>
      <c r="X58" s="74"/>
      <c r="Y58" s="74"/>
      <c r="Z58" s="74"/>
      <c r="AA58" s="74"/>
      <c r="AB58" s="74"/>
      <c r="AC58" s="74"/>
      <c r="AD58" s="74"/>
      <c r="AE58" s="74"/>
      <c r="AF58" s="74"/>
      <c r="AG58" s="93"/>
      <c r="AH58" s="93"/>
      <c r="BN58" s="74"/>
      <c r="BO58" s="463"/>
      <c r="BP58" s="125"/>
      <c r="BQ58" s="125"/>
      <c r="BR58" s="125"/>
      <c r="BS58" s="125"/>
      <c r="CT58" s="79"/>
      <c r="CU58" s="79"/>
      <c r="CV58" s="79"/>
      <c r="CW58" s="79"/>
      <c r="CX58" s="79"/>
      <c r="DG58" s="79"/>
      <c r="DH58" s="79"/>
      <c r="DI58" s="79"/>
      <c r="DJ58" s="79"/>
      <c r="DK58" s="79"/>
      <c r="DV58" s="464"/>
      <c r="DW58" s="464"/>
      <c r="DX58" s="465"/>
      <c r="DY58" s="465"/>
      <c r="DZ58" s="465"/>
      <c r="EA58" s="465"/>
      <c r="EB58" s="466"/>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c r="IB58" s="76"/>
      <c r="IC58" s="76"/>
      <c r="ID58" s="76"/>
      <c r="IE58" s="76"/>
      <c r="IF58" s="76"/>
      <c r="IG58" s="76"/>
      <c r="IH58" s="76"/>
      <c r="II58" s="76"/>
      <c r="IJ58" s="76"/>
      <c r="IK58" s="76"/>
      <c r="IL58" s="76"/>
      <c r="IM58" s="76"/>
      <c r="IN58" s="76"/>
      <c r="IO58" s="76"/>
      <c r="IP58" s="76"/>
      <c r="IQ58" s="76"/>
      <c r="IR58" s="76"/>
      <c r="IS58" s="76"/>
      <c r="IT58" s="76"/>
    </row>
    <row r="59" spans="1:254" s="75" customFormat="1">
      <c r="A59" s="211"/>
      <c r="E59" s="74"/>
      <c r="F59" s="459"/>
      <c r="H59" s="467"/>
      <c r="I59" s="467"/>
      <c r="K59" s="93"/>
      <c r="L59" s="74"/>
      <c r="S59" s="74"/>
      <c r="T59" s="74"/>
      <c r="U59" s="74"/>
      <c r="V59" s="74"/>
      <c r="W59" s="74"/>
      <c r="X59" s="74"/>
      <c r="Y59" s="74"/>
      <c r="Z59" s="74"/>
      <c r="AA59" s="74"/>
      <c r="AB59" s="74"/>
      <c r="AC59" s="74"/>
      <c r="AD59" s="74"/>
      <c r="AE59" s="74"/>
      <c r="AF59" s="74"/>
      <c r="AG59" s="93"/>
      <c r="AH59" s="93"/>
      <c r="BN59" s="74"/>
      <c r="BO59" s="463"/>
      <c r="BP59" s="125"/>
      <c r="BQ59" s="125"/>
      <c r="BR59" s="125"/>
      <c r="BS59" s="125"/>
      <c r="CT59" s="79"/>
      <c r="CU59" s="79"/>
      <c r="CV59" s="79"/>
      <c r="CW59" s="79"/>
      <c r="CX59" s="79"/>
      <c r="DG59" s="79"/>
      <c r="DH59" s="79"/>
      <c r="DI59" s="79"/>
      <c r="DJ59" s="79"/>
      <c r="DK59" s="79"/>
      <c r="DV59" s="464"/>
      <c r="DW59" s="464"/>
      <c r="DX59" s="465"/>
      <c r="DY59" s="465"/>
      <c r="DZ59" s="465"/>
      <c r="EA59" s="465"/>
      <c r="EB59" s="466"/>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H59" s="76"/>
      <c r="FI59" s="76"/>
      <c r="FJ59" s="76"/>
      <c r="FK59" s="76"/>
      <c r="FL59" s="76"/>
      <c r="FM59" s="76"/>
      <c r="FN59" s="76"/>
      <c r="FO59" s="76"/>
      <c r="FP59" s="76"/>
      <c r="FQ59" s="76"/>
      <c r="FR59" s="76"/>
      <c r="FS59" s="76"/>
      <c r="FT59" s="76"/>
      <c r="FU59" s="76"/>
      <c r="FV59" s="76"/>
      <c r="FW59" s="76"/>
      <c r="FX59" s="76"/>
      <c r="FY59" s="76"/>
      <c r="FZ59" s="76"/>
      <c r="GA59" s="76"/>
      <c r="GB59" s="76"/>
      <c r="GC59" s="76"/>
      <c r="GD59" s="76"/>
      <c r="GE59" s="76"/>
      <c r="GF59" s="76"/>
      <c r="GG59" s="76"/>
      <c r="GH59" s="76"/>
      <c r="GI59" s="76"/>
      <c r="GJ59" s="76"/>
      <c r="GK59" s="76"/>
      <c r="GL59" s="76"/>
      <c r="GM59" s="76"/>
      <c r="GN59" s="76"/>
      <c r="GO59" s="76"/>
      <c r="GP59" s="76"/>
      <c r="GQ59" s="76"/>
      <c r="GR59" s="76"/>
      <c r="GS59" s="76"/>
      <c r="GT59" s="76"/>
      <c r="GU59" s="76"/>
      <c r="GV59" s="76"/>
      <c r="GW59" s="76"/>
      <c r="GX59" s="76"/>
      <c r="GY59" s="76"/>
      <c r="GZ59" s="76"/>
      <c r="HA59" s="76"/>
      <c r="HB59" s="76"/>
      <c r="HC59" s="76"/>
      <c r="HD59" s="76"/>
      <c r="HE59" s="76"/>
      <c r="HF59" s="76"/>
      <c r="HG59" s="76"/>
      <c r="HH59" s="76"/>
      <c r="HI59" s="76"/>
      <c r="HJ59" s="76"/>
      <c r="HK59" s="76"/>
      <c r="HL59" s="76"/>
      <c r="HM59" s="76"/>
      <c r="HN59" s="76"/>
      <c r="HO59" s="76"/>
      <c r="HP59" s="76"/>
      <c r="HQ59" s="76"/>
      <c r="HR59" s="76"/>
      <c r="HS59" s="76"/>
      <c r="HT59" s="76"/>
      <c r="HU59" s="76"/>
      <c r="HV59" s="76"/>
      <c r="HW59" s="76"/>
      <c r="HX59" s="76"/>
      <c r="HY59" s="76"/>
      <c r="HZ59" s="76"/>
      <c r="IA59" s="76"/>
      <c r="IB59" s="76"/>
      <c r="IC59" s="76"/>
      <c r="ID59" s="76"/>
      <c r="IE59" s="76"/>
      <c r="IF59" s="76"/>
      <c r="IG59" s="76"/>
      <c r="IH59" s="76"/>
      <c r="II59" s="76"/>
      <c r="IJ59" s="76"/>
      <c r="IK59" s="76"/>
      <c r="IL59" s="76"/>
      <c r="IM59" s="76"/>
      <c r="IN59" s="76"/>
      <c r="IO59" s="76"/>
      <c r="IP59" s="76"/>
      <c r="IQ59" s="76"/>
      <c r="IR59" s="76"/>
      <c r="IS59" s="76"/>
      <c r="IT59" s="76"/>
    </row>
    <row r="60" spans="1:254" s="75" customFormat="1">
      <c r="A60" s="211"/>
      <c r="E60" s="74"/>
      <c r="F60" s="459"/>
      <c r="H60" s="467"/>
      <c r="I60" s="467"/>
      <c r="K60" s="93"/>
      <c r="L60" s="74"/>
      <c r="S60" s="74"/>
      <c r="T60" s="74"/>
      <c r="U60" s="74"/>
      <c r="V60" s="74"/>
      <c r="W60" s="74"/>
      <c r="X60" s="74"/>
      <c r="Y60" s="74"/>
      <c r="Z60" s="74"/>
      <c r="AA60" s="74"/>
      <c r="AB60" s="74"/>
      <c r="AC60" s="74"/>
      <c r="AD60" s="74"/>
      <c r="AE60" s="74"/>
      <c r="AF60" s="74"/>
      <c r="AG60" s="93"/>
      <c r="AH60" s="93"/>
      <c r="BN60" s="74"/>
      <c r="BO60" s="463"/>
      <c r="BP60" s="125"/>
      <c r="BQ60" s="125"/>
      <c r="BR60" s="125"/>
      <c r="BS60" s="125"/>
      <c r="CT60" s="79"/>
      <c r="CU60" s="79"/>
      <c r="CV60" s="79"/>
      <c r="CW60" s="79"/>
      <c r="CX60" s="79"/>
      <c r="DG60" s="79"/>
      <c r="DH60" s="79"/>
      <c r="DI60" s="79"/>
      <c r="DJ60" s="79"/>
      <c r="DK60" s="79"/>
      <c r="DV60" s="464"/>
      <c r="DW60" s="464"/>
      <c r="DX60" s="465"/>
      <c r="DY60" s="465"/>
      <c r="DZ60" s="465"/>
      <c r="EA60" s="465"/>
      <c r="EB60" s="466"/>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c r="IB60" s="76"/>
      <c r="IC60" s="76"/>
      <c r="ID60" s="76"/>
      <c r="IE60" s="76"/>
      <c r="IF60" s="76"/>
      <c r="IG60" s="76"/>
      <c r="IH60" s="76"/>
      <c r="II60" s="76"/>
      <c r="IJ60" s="76"/>
      <c r="IK60" s="76"/>
      <c r="IL60" s="76"/>
      <c r="IM60" s="76"/>
      <c r="IN60" s="76"/>
      <c r="IO60" s="76"/>
      <c r="IP60" s="76"/>
      <c r="IQ60" s="76"/>
      <c r="IR60" s="76"/>
      <c r="IS60" s="76"/>
      <c r="IT60" s="76"/>
    </row>
    <row r="61" spans="1:254" s="75" customFormat="1">
      <c r="A61" s="211"/>
      <c r="E61" s="74"/>
      <c r="F61" s="459"/>
      <c r="H61" s="467"/>
      <c r="I61" s="467"/>
      <c r="K61" s="93"/>
      <c r="L61" s="74"/>
      <c r="S61" s="74"/>
      <c r="T61" s="74"/>
      <c r="U61" s="74"/>
      <c r="V61" s="74"/>
      <c r="W61" s="74"/>
      <c r="X61" s="74"/>
      <c r="Y61" s="74"/>
      <c r="Z61" s="74"/>
      <c r="AA61" s="74"/>
      <c r="AB61" s="74"/>
      <c r="AC61" s="74"/>
      <c r="AD61" s="74"/>
      <c r="AE61" s="74"/>
      <c r="AF61" s="74"/>
      <c r="AG61" s="93"/>
      <c r="AH61" s="93"/>
      <c r="BN61" s="74"/>
      <c r="BO61" s="463"/>
      <c r="BP61" s="125"/>
      <c r="BQ61" s="125"/>
      <c r="BR61" s="125"/>
      <c r="BS61" s="125"/>
      <c r="CT61" s="79"/>
      <c r="CU61" s="79"/>
      <c r="CV61" s="79"/>
      <c r="CW61" s="79"/>
      <c r="CX61" s="79"/>
      <c r="DG61" s="79"/>
      <c r="DH61" s="79"/>
      <c r="DI61" s="79"/>
      <c r="DJ61" s="79"/>
      <c r="DK61" s="79"/>
      <c r="DV61" s="464"/>
      <c r="DW61" s="464"/>
      <c r="DX61" s="465"/>
      <c r="DY61" s="465"/>
      <c r="DZ61" s="465"/>
      <c r="EA61" s="465"/>
      <c r="EB61" s="466"/>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c r="IM61" s="76"/>
      <c r="IN61" s="76"/>
      <c r="IO61" s="76"/>
      <c r="IP61" s="76"/>
      <c r="IQ61" s="76"/>
      <c r="IR61" s="76"/>
      <c r="IS61" s="76"/>
      <c r="IT61" s="76"/>
    </row>
    <row r="62" spans="1:254" s="75" customFormat="1">
      <c r="A62" s="211"/>
      <c r="E62" s="74"/>
      <c r="F62" s="459"/>
      <c r="H62" s="467"/>
      <c r="I62" s="467"/>
      <c r="K62" s="93"/>
      <c r="L62" s="74"/>
      <c r="S62" s="74"/>
      <c r="T62" s="74"/>
      <c r="U62" s="74"/>
      <c r="V62" s="74"/>
      <c r="W62" s="74"/>
      <c r="X62" s="74"/>
      <c r="Y62" s="74"/>
      <c r="Z62" s="74"/>
      <c r="AA62" s="74"/>
      <c r="AB62" s="74"/>
      <c r="AC62" s="74"/>
      <c r="AD62" s="74"/>
      <c r="AE62" s="74"/>
      <c r="AF62" s="74"/>
      <c r="AG62" s="93"/>
      <c r="AH62" s="93"/>
      <c r="BN62" s="74"/>
      <c r="BO62" s="463"/>
      <c r="BP62" s="125"/>
      <c r="BQ62" s="125"/>
      <c r="BR62" s="125"/>
      <c r="BS62" s="125"/>
      <c r="CT62" s="79"/>
      <c r="CU62" s="79"/>
      <c r="CV62" s="79"/>
      <c r="CW62" s="79"/>
      <c r="CX62" s="79"/>
      <c r="DG62" s="79"/>
      <c r="DH62" s="79"/>
      <c r="DI62" s="79"/>
      <c r="DJ62" s="79"/>
      <c r="DK62" s="79"/>
      <c r="DV62" s="464"/>
      <c r="DW62" s="464"/>
      <c r="DX62" s="465"/>
      <c r="DY62" s="465"/>
      <c r="DZ62" s="465"/>
      <c r="EA62" s="465"/>
      <c r="EB62" s="466"/>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c r="IB62" s="76"/>
      <c r="IC62" s="76"/>
      <c r="ID62" s="76"/>
      <c r="IE62" s="76"/>
      <c r="IF62" s="76"/>
      <c r="IG62" s="76"/>
      <c r="IH62" s="76"/>
      <c r="II62" s="76"/>
      <c r="IJ62" s="76"/>
      <c r="IK62" s="76"/>
      <c r="IL62" s="76"/>
      <c r="IM62" s="76"/>
      <c r="IN62" s="76"/>
      <c r="IO62" s="76"/>
      <c r="IP62" s="76"/>
      <c r="IQ62" s="76"/>
      <c r="IR62" s="76"/>
      <c r="IS62" s="76"/>
      <c r="IT62" s="76"/>
    </row>
    <row r="63" spans="1:254" s="75" customFormat="1">
      <c r="A63" s="211"/>
      <c r="E63" s="74"/>
      <c r="F63" s="459"/>
      <c r="H63" s="467"/>
      <c r="I63" s="467"/>
      <c r="K63" s="93"/>
      <c r="L63" s="74"/>
      <c r="S63" s="74"/>
      <c r="T63" s="74"/>
      <c r="U63" s="74"/>
      <c r="V63" s="74"/>
      <c r="W63" s="74"/>
      <c r="X63" s="74"/>
      <c r="Y63" s="74"/>
      <c r="Z63" s="74"/>
      <c r="AA63" s="74"/>
      <c r="AB63" s="74"/>
      <c r="AC63" s="74"/>
      <c r="AD63" s="74"/>
      <c r="AE63" s="74"/>
      <c r="AF63" s="74"/>
      <c r="AG63" s="93"/>
      <c r="AH63" s="93"/>
      <c r="BN63" s="74"/>
      <c r="BO63" s="463"/>
      <c r="BP63" s="125"/>
      <c r="BQ63" s="125"/>
      <c r="BR63" s="125"/>
      <c r="BS63" s="125"/>
      <c r="CT63" s="79"/>
      <c r="CU63" s="79"/>
      <c r="CV63" s="79"/>
      <c r="CW63" s="79"/>
      <c r="CX63" s="79"/>
      <c r="DG63" s="79"/>
      <c r="DH63" s="79"/>
      <c r="DI63" s="79"/>
      <c r="DJ63" s="79"/>
      <c r="DK63" s="79"/>
      <c r="DV63" s="464"/>
      <c r="DW63" s="464"/>
      <c r="DX63" s="465"/>
      <c r="DY63" s="465"/>
      <c r="DZ63" s="465"/>
      <c r="EA63" s="465"/>
      <c r="EB63" s="466"/>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row>
    <row r="64" spans="1:254" s="75" customFormat="1">
      <c r="A64" s="211"/>
      <c r="E64" s="74"/>
      <c r="F64" s="459"/>
      <c r="H64" s="467"/>
      <c r="I64" s="467"/>
      <c r="K64" s="93"/>
      <c r="L64" s="74"/>
      <c r="S64" s="74"/>
      <c r="T64" s="74"/>
      <c r="U64" s="74"/>
      <c r="V64" s="74"/>
      <c r="W64" s="74"/>
      <c r="X64" s="74"/>
      <c r="Y64" s="74"/>
      <c r="Z64" s="74"/>
      <c r="AA64" s="74"/>
      <c r="AB64" s="74"/>
      <c r="AC64" s="74"/>
      <c r="AD64" s="74"/>
      <c r="AE64" s="74"/>
      <c r="AF64" s="74"/>
      <c r="AG64" s="93"/>
      <c r="AH64" s="93"/>
      <c r="BN64" s="74"/>
      <c r="BO64" s="463"/>
      <c r="BP64" s="125"/>
      <c r="BQ64" s="125"/>
      <c r="BR64" s="125"/>
      <c r="BS64" s="125"/>
      <c r="CT64" s="79"/>
      <c r="CU64" s="79"/>
      <c r="CV64" s="79"/>
      <c r="CW64" s="79"/>
      <c r="CX64" s="79"/>
      <c r="DG64" s="79"/>
      <c r="DH64" s="79"/>
      <c r="DI64" s="79"/>
      <c r="DJ64" s="79"/>
      <c r="DK64" s="79"/>
      <c r="DV64" s="464"/>
      <c r="DW64" s="464"/>
      <c r="DX64" s="465"/>
      <c r="DY64" s="465"/>
      <c r="DZ64" s="465"/>
      <c r="EA64" s="465"/>
      <c r="EB64" s="466"/>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c r="IB64" s="76"/>
      <c r="IC64" s="76"/>
      <c r="ID64" s="76"/>
      <c r="IE64" s="76"/>
      <c r="IF64" s="76"/>
      <c r="IG64" s="76"/>
      <c r="IH64" s="76"/>
      <c r="II64" s="76"/>
      <c r="IJ64" s="76"/>
      <c r="IK64" s="76"/>
      <c r="IL64" s="76"/>
      <c r="IM64" s="76"/>
      <c r="IN64" s="76"/>
      <c r="IO64" s="76"/>
      <c r="IP64" s="76"/>
      <c r="IQ64" s="76"/>
      <c r="IR64" s="76"/>
      <c r="IS64" s="76"/>
      <c r="IT64" s="76"/>
    </row>
    <row r="65" spans="1:254" s="75" customFormat="1">
      <c r="A65" s="211"/>
      <c r="E65" s="74"/>
      <c r="F65" s="459"/>
      <c r="H65" s="467"/>
      <c r="I65" s="467"/>
      <c r="K65" s="93"/>
      <c r="L65" s="74"/>
      <c r="S65" s="74"/>
      <c r="T65" s="74"/>
      <c r="U65" s="74"/>
      <c r="V65" s="74"/>
      <c r="W65" s="74"/>
      <c r="X65" s="74"/>
      <c r="Y65" s="74"/>
      <c r="Z65" s="74"/>
      <c r="AA65" s="74"/>
      <c r="AB65" s="74"/>
      <c r="AC65" s="74"/>
      <c r="AD65" s="74"/>
      <c r="AE65" s="74"/>
      <c r="AF65" s="74"/>
      <c r="AG65" s="93"/>
      <c r="AH65" s="93"/>
      <c r="BN65" s="74"/>
      <c r="BO65" s="463"/>
      <c r="BP65" s="125"/>
      <c r="BQ65" s="125"/>
      <c r="BR65" s="125"/>
      <c r="BS65" s="125"/>
      <c r="CT65" s="79"/>
      <c r="CU65" s="79"/>
      <c r="CV65" s="79"/>
      <c r="CW65" s="79"/>
      <c r="CX65" s="79"/>
      <c r="DG65" s="79"/>
      <c r="DH65" s="79"/>
      <c r="DI65" s="79"/>
      <c r="DJ65" s="79"/>
      <c r="DK65" s="79"/>
      <c r="DV65" s="464"/>
      <c r="DW65" s="464"/>
      <c r="DX65" s="465"/>
      <c r="DY65" s="465"/>
      <c r="DZ65" s="465"/>
      <c r="EA65" s="465"/>
      <c r="EB65" s="466"/>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c r="IL65" s="76"/>
      <c r="IM65" s="76"/>
      <c r="IN65" s="76"/>
      <c r="IO65" s="76"/>
      <c r="IP65" s="76"/>
      <c r="IQ65" s="76"/>
      <c r="IR65" s="76"/>
      <c r="IS65" s="76"/>
      <c r="IT65" s="76"/>
    </row>
    <row r="66" spans="1:254" s="75" customFormat="1">
      <c r="A66" s="211"/>
      <c r="E66" s="74"/>
      <c r="F66" s="459"/>
      <c r="H66" s="467"/>
      <c r="I66" s="467"/>
      <c r="K66" s="93"/>
      <c r="L66" s="74"/>
      <c r="S66" s="74"/>
      <c r="T66" s="74"/>
      <c r="U66" s="74"/>
      <c r="V66" s="74"/>
      <c r="W66" s="74"/>
      <c r="X66" s="74"/>
      <c r="Y66" s="74"/>
      <c r="Z66" s="74"/>
      <c r="AA66" s="74"/>
      <c r="AB66" s="74"/>
      <c r="AC66" s="74"/>
      <c r="AD66" s="74"/>
      <c r="AE66" s="74"/>
      <c r="AF66" s="74"/>
      <c r="AG66" s="93"/>
      <c r="AH66" s="93"/>
      <c r="BN66" s="74"/>
      <c r="BO66" s="463"/>
      <c r="BP66" s="125"/>
      <c r="BQ66" s="125"/>
      <c r="BR66" s="125"/>
      <c r="BS66" s="125"/>
      <c r="CT66" s="79"/>
      <c r="CU66" s="79"/>
      <c r="CV66" s="79"/>
      <c r="CW66" s="79"/>
      <c r="CX66" s="79"/>
      <c r="DG66" s="79"/>
      <c r="DH66" s="79"/>
      <c r="DI66" s="79"/>
      <c r="DJ66" s="79"/>
      <c r="DK66" s="79"/>
      <c r="DV66" s="464"/>
      <c r="DW66" s="464"/>
      <c r="DX66" s="465"/>
      <c r="DY66" s="465"/>
      <c r="DZ66" s="465"/>
      <c r="EA66" s="465"/>
      <c r="EB66" s="466"/>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c r="IB66" s="76"/>
      <c r="IC66" s="76"/>
      <c r="ID66" s="76"/>
      <c r="IE66" s="76"/>
      <c r="IF66" s="76"/>
      <c r="IG66" s="76"/>
      <c r="IH66" s="76"/>
      <c r="II66" s="76"/>
      <c r="IJ66" s="76"/>
      <c r="IK66" s="76"/>
      <c r="IL66" s="76"/>
      <c r="IM66" s="76"/>
      <c r="IN66" s="76"/>
      <c r="IO66" s="76"/>
      <c r="IP66" s="76"/>
      <c r="IQ66" s="76"/>
      <c r="IR66" s="76"/>
      <c r="IS66" s="76"/>
      <c r="IT66" s="76"/>
    </row>
    <row r="67" spans="1:254" s="75" customFormat="1">
      <c r="A67" s="211"/>
      <c r="E67" s="74"/>
      <c r="F67" s="459"/>
      <c r="H67" s="467"/>
      <c r="I67" s="467"/>
      <c r="K67" s="93"/>
      <c r="L67" s="74"/>
      <c r="S67" s="74"/>
      <c r="T67" s="74"/>
      <c r="U67" s="74"/>
      <c r="V67" s="74"/>
      <c r="W67" s="74"/>
      <c r="X67" s="74"/>
      <c r="Y67" s="74"/>
      <c r="Z67" s="74"/>
      <c r="AA67" s="74"/>
      <c r="AB67" s="74"/>
      <c r="AC67" s="74"/>
      <c r="AD67" s="74"/>
      <c r="AE67" s="74"/>
      <c r="AF67" s="74"/>
      <c r="AG67" s="93"/>
      <c r="AH67" s="93"/>
      <c r="BN67" s="74"/>
      <c r="BO67" s="463"/>
      <c r="BP67" s="125"/>
      <c r="BQ67" s="125"/>
      <c r="BR67" s="125"/>
      <c r="BS67" s="125"/>
      <c r="CT67" s="79"/>
      <c r="CU67" s="79"/>
      <c r="CV67" s="79"/>
      <c r="CW67" s="79"/>
      <c r="CX67" s="79"/>
      <c r="DG67" s="79"/>
      <c r="DH67" s="79"/>
      <c r="DI67" s="79"/>
      <c r="DJ67" s="79"/>
      <c r="DK67" s="79"/>
      <c r="DV67" s="464"/>
      <c r="DW67" s="464"/>
      <c r="DX67" s="465"/>
      <c r="DY67" s="465"/>
      <c r="DZ67" s="465"/>
      <c r="EA67" s="465"/>
      <c r="EB67" s="466"/>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c r="IB67" s="76"/>
      <c r="IC67" s="76"/>
      <c r="ID67" s="76"/>
      <c r="IE67" s="76"/>
      <c r="IF67" s="76"/>
      <c r="IG67" s="76"/>
      <c r="IH67" s="76"/>
      <c r="II67" s="76"/>
      <c r="IJ67" s="76"/>
      <c r="IK67" s="76"/>
      <c r="IL67" s="76"/>
      <c r="IM67" s="76"/>
      <c r="IN67" s="76"/>
      <c r="IO67" s="76"/>
      <c r="IP67" s="76"/>
      <c r="IQ67" s="76"/>
      <c r="IR67" s="76"/>
      <c r="IS67" s="76"/>
      <c r="IT67" s="76"/>
    </row>
    <row r="68" spans="1:254" s="75" customFormat="1">
      <c r="A68" s="211"/>
      <c r="E68" s="74"/>
      <c r="F68" s="459"/>
      <c r="H68" s="467"/>
      <c r="I68" s="467"/>
      <c r="K68" s="93"/>
      <c r="L68" s="74"/>
      <c r="S68" s="74"/>
      <c r="T68" s="74"/>
      <c r="U68" s="74"/>
      <c r="V68" s="74"/>
      <c r="W68" s="74"/>
      <c r="X68" s="74"/>
      <c r="Y68" s="74"/>
      <c r="Z68" s="74"/>
      <c r="AA68" s="74"/>
      <c r="AB68" s="74"/>
      <c r="AC68" s="74"/>
      <c r="AD68" s="74"/>
      <c r="AE68" s="74"/>
      <c r="AF68" s="74"/>
      <c r="AG68" s="93"/>
      <c r="AH68" s="93"/>
      <c r="BN68" s="74"/>
      <c r="BO68" s="463"/>
      <c r="BP68" s="125"/>
      <c r="BQ68" s="125"/>
      <c r="BR68" s="125"/>
      <c r="BS68" s="125"/>
      <c r="CT68" s="79"/>
      <c r="CU68" s="79"/>
      <c r="CV68" s="79"/>
      <c r="CW68" s="79"/>
      <c r="CX68" s="79"/>
      <c r="DG68" s="79"/>
      <c r="DH68" s="79"/>
      <c r="DI68" s="79"/>
      <c r="DJ68" s="79"/>
      <c r="DK68" s="79"/>
      <c r="DV68" s="464"/>
      <c r="DW68" s="464"/>
      <c r="DX68" s="465"/>
      <c r="DY68" s="465"/>
      <c r="DZ68" s="465"/>
      <c r="EA68" s="465"/>
      <c r="EB68" s="466"/>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c r="IL68" s="76"/>
      <c r="IM68" s="76"/>
      <c r="IN68" s="76"/>
      <c r="IO68" s="76"/>
      <c r="IP68" s="76"/>
      <c r="IQ68" s="76"/>
      <c r="IR68" s="76"/>
      <c r="IS68" s="76"/>
      <c r="IT68" s="76"/>
    </row>
    <row r="69" spans="1:254" s="75" customFormat="1">
      <c r="A69" s="211"/>
      <c r="E69" s="74"/>
      <c r="F69" s="459"/>
      <c r="H69" s="467"/>
      <c r="I69" s="467"/>
      <c r="K69" s="93"/>
      <c r="L69" s="74"/>
      <c r="S69" s="74"/>
      <c r="T69" s="74"/>
      <c r="U69" s="74"/>
      <c r="V69" s="74"/>
      <c r="W69" s="74"/>
      <c r="X69" s="74"/>
      <c r="Y69" s="74"/>
      <c r="Z69" s="74"/>
      <c r="AA69" s="74"/>
      <c r="AB69" s="74"/>
      <c r="AC69" s="74"/>
      <c r="AD69" s="74"/>
      <c r="AE69" s="74"/>
      <c r="AF69" s="74"/>
      <c r="AG69" s="93"/>
      <c r="AH69" s="93"/>
      <c r="BN69" s="74"/>
      <c r="BO69" s="463"/>
      <c r="BP69" s="125"/>
      <c r="BQ69" s="125"/>
      <c r="BR69" s="125"/>
      <c r="BS69" s="125"/>
      <c r="CT69" s="79"/>
      <c r="CU69" s="79"/>
      <c r="CV69" s="79"/>
      <c r="CW69" s="79"/>
      <c r="CX69" s="79"/>
      <c r="DG69" s="79"/>
      <c r="DH69" s="79"/>
      <c r="DI69" s="79"/>
      <c r="DJ69" s="79"/>
      <c r="DK69" s="79"/>
      <c r="DV69" s="464"/>
      <c r="DW69" s="464"/>
      <c r="DX69" s="465"/>
      <c r="DY69" s="465"/>
      <c r="DZ69" s="465"/>
      <c r="EA69" s="465"/>
      <c r="EB69" s="466"/>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c r="IB69" s="76"/>
      <c r="IC69" s="76"/>
      <c r="ID69" s="76"/>
      <c r="IE69" s="76"/>
      <c r="IF69" s="76"/>
      <c r="IG69" s="76"/>
      <c r="IH69" s="76"/>
      <c r="II69" s="76"/>
      <c r="IJ69" s="76"/>
      <c r="IK69" s="76"/>
      <c r="IL69" s="76"/>
      <c r="IM69" s="76"/>
      <c r="IN69" s="76"/>
      <c r="IO69" s="76"/>
      <c r="IP69" s="76"/>
      <c r="IQ69" s="76"/>
      <c r="IR69" s="76"/>
      <c r="IS69" s="76"/>
      <c r="IT69" s="76"/>
    </row>
    <row r="70" spans="1:254" s="75" customFormat="1">
      <c r="A70" s="211"/>
      <c r="E70" s="74"/>
      <c r="F70" s="459"/>
      <c r="H70" s="467"/>
      <c r="I70" s="467"/>
      <c r="K70" s="93"/>
      <c r="L70" s="74"/>
      <c r="S70" s="74"/>
      <c r="T70" s="74"/>
      <c r="U70" s="74"/>
      <c r="V70" s="74"/>
      <c r="W70" s="74"/>
      <c r="X70" s="74"/>
      <c r="Y70" s="74"/>
      <c r="Z70" s="74"/>
      <c r="AA70" s="74"/>
      <c r="AB70" s="74"/>
      <c r="AC70" s="74"/>
      <c r="AD70" s="74"/>
      <c r="AE70" s="74"/>
      <c r="AF70" s="74"/>
      <c r="AG70" s="93"/>
      <c r="AH70" s="93"/>
      <c r="BN70" s="74"/>
      <c r="BO70" s="463"/>
      <c r="BP70" s="125"/>
      <c r="BQ70" s="125"/>
      <c r="BR70" s="125"/>
      <c r="BS70" s="125"/>
      <c r="CT70" s="79"/>
      <c r="CU70" s="79"/>
      <c r="CV70" s="79"/>
      <c r="CW70" s="79"/>
      <c r="CX70" s="79"/>
      <c r="DG70" s="79"/>
      <c r="DH70" s="79"/>
      <c r="DI70" s="79"/>
      <c r="DJ70" s="79"/>
      <c r="DK70" s="79"/>
      <c r="DV70" s="464"/>
      <c r="DW70" s="464"/>
      <c r="DX70" s="465"/>
      <c r="DY70" s="465"/>
      <c r="DZ70" s="465"/>
      <c r="EA70" s="465"/>
      <c r="EB70" s="466"/>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c r="IB70" s="76"/>
      <c r="IC70" s="76"/>
      <c r="ID70" s="76"/>
      <c r="IE70" s="76"/>
      <c r="IF70" s="76"/>
      <c r="IG70" s="76"/>
      <c r="IH70" s="76"/>
      <c r="II70" s="76"/>
      <c r="IJ70" s="76"/>
      <c r="IK70" s="76"/>
      <c r="IL70" s="76"/>
      <c r="IM70" s="76"/>
      <c r="IN70" s="76"/>
      <c r="IO70" s="76"/>
      <c r="IP70" s="76"/>
      <c r="IQ70" s="76"/>
      <c r="IR70" s="76"/>
      <c r="IS70" s="76"/>
      <c r="IT70" s="76"/>
    </row>
    <row r="71" spans="1:254" s="75" customFormat="1">
      <c r="A71" s="211"/>
      <c r="E71" s="74"/>
      <c r="F71" s="459"/>
      <c r="H71" s="467"/>
      <c r="I71" s="467"/>
      <c r="K71" s="93"/>
      <c r="L71" s="74"/>
      <c r="S71" s="74"/>
      <c r="T71" s="74"/>
      <c r="U71" s="74"/>
      <c r="V71" s="74"/>
      <c r="W71" s="74"/>
      <c r="X71" s="74"/>
      <c r="Y71" s="74"/>
      <c r="Z71" s="74"/>
      <c r="AA71" s="74"/>
      <c r="AB71" s="74"/>
      <c r="AC71" s="74"/>
      <c r="AD71" s="74"/>
      <c r="AE71" s="74"/>
      <c r="AF71" s="74"/>
      <c r="AG71" s="93"/>
      <c r="AH71" s="93"/>
      <c r="BN71" s="74"/>
      <c r="BO71" s="463"/>
      <c r="BP71" s="125"/>
      <c r="BQ71" s="125"/>
      <c r="BR71" s="125"/>
      <c r="BS71" s="125"/>
      <c r="CT71" s="79"/>
      <c r="CU71" s="79"/>
      <c r="CV71" s="79"/>
      <c r="CW71" s="79"/>
      <c r="CX71" s="79"/>
      <c r="DG71" s="79"/>
      <c r="DH71" s="79"/>
      <c r="DI71" s="79"/>
      <c r="DJ71" s="79"/>
      <c r="DK71" s="79"/>
      <c r="DV71" s="464"/>
      <c r="DW71" s="464"/>
      <c r="DX71" s="465"/>
      <c r="DY71" s="465"/>
      <c r="DZ71" s="465"/>
      <c r="EA71" s="465"/>
      <c r="EB71" s="466"/>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c r="IL71" s="76"/>
      <c r="IM71" s="76"/>
      <c r="IN71" s="76"/>
      <c r="IO71" s="76"/>
      <c r="IP71" s="76"/>
      <c r="IQ71" s="76"/>
      <c r="IR71" s="76"/>
      <c r="IS71" s="76"/>
      <c r="IT71" s="76"/>
    </row>
    <row r="72" spans="1:254" s="75" customFormat="1">
      <c r="A72" s="211"/>
      <c r="E72" s="74"/>
      <c r="F72" s="459"/>
      <c r="H72" s="467"/>
      <c r="I72" s="467"/>
      <c r="K72" s="93"/>
      <c r="L72" s="74"/>
      <c r="S72" s="74"/>
      <c r="T72" s="74"/>
      <c r="U72" s="74"/>
      <c r="V72" s="74"/>
      <c r="W72" s="74"/>
      <c r="X72" s="74"/>
      <c r="Y72" s="74"/>
      <c r="Z72" s="74"/>
      <c r="AA72" s="74"/>
      <c r="AB72" s="74"/>
      <c r="AC72" s="74"/>
      <c r="AD72" s="74"/>
      <c r="AE72" s="74"/>
      <c r="AF72" s="74"/>
      <c r="AG72" s="93"/>
      <c r="AH72" s="93"/>
      <c r="BN72" s="74"/>
      <c r="BO72" s="463"/>
      <c r="BP72" s="125"/>
      <c r="BQ72" s="125"/>
      <c r="BR72" s="125"/>
      <c r="BS72" s="125"/>
      <c r="CT72" s="79"/>
      <c r="CU72" s="79"/>
      <c r="CV72" s="79"/>
      <c r="CW72" s="79"/>
      <c r="CX72" s="79"/>
      <c r="DG72" s="79"/>
      <c r="DH72" s="79"/>
      <c r="DI72" s="79"/>
      <c r="DJ72" s="79"/>
      <c r="DK72" s="79"/>
      <c r="DV72" s="464"/>
      <c r="DW72" s="464"/>
      <c r="DX72" s="465"/>
      <c r="DY72" s="465"/>
      <c r="DZ72" s="465"/>
      <c r="EA72" s="465"/>
      <c r="EB72" s="466"/>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c r="IB72" s="76"/>
      <c r="IC72" s="76"/>
      <c r="ID72" s="76"/>
      <c r="IE72" s="76"/>
      <c r="IF72" s="76"/>
      <c r="IG72" s="76"/>
      <c r="IH72" s="76"/>
      <c r="II72" s="76"/>
      <c r="IJ72" s="76"/>
      <c r="IK72" s="76"/>
      <c r="IL72" s="76"/>
      <c r="IM72" s="76"/>
      <c r="IN72" s="76"/>
      <c r="IO72" s="76"/>
      <c r="IP72" s="76"/>
      <c r="IQ72" s="76"/>
      <c r="IR72" s="76"/>
      <c r="IS72" s="76"/>
      <c r="IT72" s="76"/>
    </row>
    <row r="73" spans="1:254" s="75" customFormat="1">
      <c r="A73" s="211"/>
      <c r="E73" s="74"/>
      <c r="F73" s="459"/>
      <c r="H73" s="467"/>
      <c r="I73" s="467"/>
      <c r="K73" s="93"/>
      <c r="L73" s="74"/>
      <c r="S73" s="74"/>
      <c r="T73" s="74"/>
      <c r="U73" s="74"/>
      <c r="V73" s="74"/>
      <c r="W73" s="74"/>
      <c r="X73" s="74"/>
      <c r="Y73" s="74"/>
      <c r="Z73" s="74"/>
      <c r="AA73" s="74"/>
      <c r="AB73" s="74"/>
      <c r="AC73" s="74"/>
      <c r="AD73" s="74"/>
      <c r="AE73" s="74"/>
      <c r="AF73" s="74"/>
      <c r="AG73" s="93"/>
      <c r="AH73" s="93"/>
      <c r="BN73" s="74"/>
      <c r="BO73" s="463"/>
      <c r="BP73" s="125"/>
      <c r="BQ73" s="125"/>
      <c r="BR73" s="125"/>
      <c r="BS73" s="125"/>
      <c r="CT73" s="79"/>
      <c r="CU73" s="79"/>
      <c r="CV73" s="79"/>
      <c r="CW73" s="79"/>
      <c r="CX73" s="79"/>
      <c r="DG73" s="79"/>
      <c r="DH73" s="79"/>
      <c r="DI73" s="79"/>
      <c r="DJ73" s="79"/>
      <c r="DK73" s="79"/>
      <c r="DV73" s="464"/>
      <c r="DW73" s="464"/>
      <c r="DX73" s="465"/>
      <c r="DY73" s="465"/>
      <c r="DZ73" s="465"/>
      <c r="EA73" s="465"/>
      <c r="EB73" s="466"/>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c r="IB73" s="76"/>
      <c r="IC73" s="76"/>
      <c r="ID73" s="76"/>
      <c r="IE73" s="76"/>
      <c r="IF73" s="76"/>
      <c r="IG73" s="76"/>
      <c r="IH73" s="76"/>
      <c r="II73" s="76"/>
      <c r="IJ73" s="76"/>
      <c r="IK73" s="76"/>
      <c r="IL73" s="76"/>
      <c r="IM73" s="76"/>
      <c r="IN73" s="76"/>
      <c r="IO73" s="76"/>
      <c r="IP73" s="76"/>
      <c r="IQ73" s="76"/>
      <c r="IR73" s="76"/>
      <c r="IS73" s="76"/>
      <c r="IT73" s="76"/>
    </row>
    <row r="74" spans="1:254" s="75" customFormat="1">
      <c r="A74" s="211"/>
      <c r="E74" s="74"/>
      <c r="F74" s="459"/>
      <c r="H74" s="467"/>
      <c r="I74" s="467"/>
      <c r="K74" s="93"/>
      <c r="L74" s="74"/>
      <c r="S74" s="74"/>
      <c r="T74" s="74"/>
      <c r="U74" s="74"/>
      <c r="V74" s="74"/>
      <c r="W74" s="74"/>
      <c r="X74" s="74"/>
      <c r="Y74" s="74"/>
      <c r="Z74" s="74"/>
      <c r="AA74" s="74"/>
      <c r="AB74" s="74"/>
      <c r="AC74" s="74"/>
      <c r="AD74" s="74"/>
      <c r="AE74" s="74"/>
      <c r="AF74" s="74"/>
      <c r="AG74" s="93"/>
      <c r="AH74" s="93"/>
      <c r="BN74" s="74"/>
      <c r="BO74" s="463"/>
      <c r="BP74" s="125"/>
      <c r="BQ74" s="125"/>
      <c r="BR74" s="125"/>
      <c r="BS74" s="125"/>
      <c r="CT74" s="79"/>
      <c r="CU74" s="79"/>
      <c r="CV74" s="79"/>
      <c r="CW74" s="79"/>
      <c r="CX74" s="79"/>
      <c r="DG74" s="79"/>
      <c r="DH74" s="79"/>
      <c r="DI74" s="79"/>
      <c r="DJ74" s="79"/>
      <c r="DK74" s="79"/>
      <c r="DV74" s="464"/>
      <c r="DW74" s="464"/>
      <c r="DX74" s="465"/>
      <c r="DY74" s="465"/>
      <c r="DZ74" s="465"/>
      <c r="EA74" s="465"/>
      <c r="EB74" s="466"/>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c r="IB74" s="76"/>
      <c r="IC74" s="76"/>
      <c r="ID74" s="76"/>
      <c r="IE74" s="76"/>
      <c r="IF74" s="76"/>
      <c r="IG74" s="76"/>
      <c r="IH74" s="76"/>
      <c r="II74" s="76"/>
      <c r="IJ74" s="76"/>
      <c r="IK74" s="76"/>
      <c r="IL74" s="76"/>
      <c r="IM74" s="76"/>
      <c r="IN74" s="76"/>
      <c r="IO74" s="76"/>
      <c r="IP74" s="76"/>
      <c r="IQ74" s="76"/>
      <c r="IR74" s="76"/>
      <c r="IS74" s="76"/>
      <c r="IT74" s="76"/>
    </row>
    <row r="75" spans="1:254" s="75" customFormat="1">
      <c r="A75" s="211"/>
      <c r="E75" s="74"/>
      <c r="F75" s="459"/>
      <c r="H75" s="467"/>
      <c r="I75" s="467"/>
      <c r="K75" s="93"/>
      <c r="L75" s="74"/>
      <c r="S75" s="74"/>
      <c r="T75" s="74"/>
      <c r="U75" s="74"/>
      <c r="V75" s="74"/>
      <c r="W75" s="74"/>
      <c r="X75" s="74"/>
      <c r="Y75" s="74"/>
      <c r="Z75" s="74"/>
      <c r="AA75" s="74"/>
      <c r="AB75" s="74"/>
      <c r="AC75" s="74"/>
      <c r="AD75" s="74"/>
      <c r="AE75" s="74"/>
      <c r="AF75" s="74"/>
      <c r="AG75" s="93"/>
      <c r="AH75" s="93"/>
      <c r="BN75" s="74"/>
      <c r="BO75" s="463"/>
      <c r="BP75" s="125"/>
      <c r="BQ75" s="125"/>
      <c r="BR75" s="125"/>
      <c r="BS75" s="125"/>
      <c r="CT75" s="79"/>
      <c r="CU75" s="79"/>
      <c r="CV75" s="79"/>
      <c r="CW75" s="79"/>
      <c r="CX75" s="79"/>
      <c r="DG75" s="79"/>
      <c r="DH75" s="79"/>
      <c r="DI75" s="79"/>
      <c r="DJ75" s="79"/>
      <c r="DK75" s="79"/>
      <c r="DV75" s="464"/>
      <c r="DW75" s="464"/>
      <c r="DX75" s="465"/>
      <c r="DY75" s="465"/>
      <c r="DZ75" s="465"/>
      <c r="EA75" s="465"/>
      <c r="EB75" s="466"/>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c r="IL75" s="76"/>
      <c r="IM75" s="76"/>
      <c r="IN75" s="76"/>
      <c r="IO75" s="76"/>
      <c r="IP75" s="76"/>
      <c r="IQ75" s="76"/>
      <c r="IR75" s="76"/>
      <c r="IS75" s="76"/>
      <c r="IT75" s="76"/>
    </row>
    <row r="76" spans="1:254" s="75" customFormat="1">
      <c r="A76" s="211"/>
      <c r="E76" s="74"/>
      <c r="F76" s="459"/>
      <c r="H76" s="467"/>
      <c r="I76" s="467"/>
      <c r="K76" s="93"/>
      <c r="L76" s="74"/>
      <c r="S76" s="74"/>
      <c r="T76" s="74"/>
      <c r="U76" s="74"/>
      <c r="V76" s="74"/>
      <c r="W76" s="74"/>
      <c r="X76" s="74"/>
      <c r="Y76" s="74"/>
      <c r="Z76" s="74"/>
      <c r="AA76" s="74"/>
      <c r="AB76" s="74"/>
      <c r="AC76" s="74"/>
      <c r="AD76" s="74"/>
      <c r="AE76" s="74"/>
      <c r="AF76" s="74"/>
      <c r="AG76" s="93"/>
      <c r="AH76" s="93"/>
      <c r="BN76" s="74"/>
      <c r="BO76" s="463"/>
      <c r="BP76" s="125"/>
      <c r="BQ76" s="125"/>
      <c r="BR76" s="125"/>
      <c r="BS76" s="125"/>
      <c r="CT76" s="79"/>
      <c r="CU76" s="79"/>
      <c r="CV76" s="79"/>
      <c r="CW76" s="79"/>
      <c r="CX76" s="79"/>
      <c r="DG76" s="79"/>
      <c r="DH76" s="79"/>
      <c r="DI76" s="79"/>
      <c r="DJ76" s="79"/>
      <c r="DK76" s="79"/>
      <c r="DV76" s="464"/>
      <c r="DW76" s="464"/>
      <c r="DX76" s="465"/>
      <c r="DY76" s="465"/>
      <c r="DZ76" s="465"/>
      <c r="EA76" s="465"/>
      <c r="EB76" s="466"/>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c r="IB76" s="76"/>
      <c r="IC76" s="76"/>
      <c r="ID76" s="76"/>
      <c r="IE76" s="76"/>
      <c r="IF76" s="76"/>
      <c r="IG76" s="76"/>
      <c r="IH76" s="76"/>
      <c r="II76" s="76"/>
      <c r="IJ76" s="76"/>
      <c r="IK76" s="76"/>
      <c r="IL76" s="76"/>
      <c r="IM76" s="76"/>
      <c r="IN76" s="76"/>
      <c r="IO76" s="76"/>
      <c r="IP76" s="76"/>
      <c r="IQ76" s="76"/>
      <c r="IR76" s="76"/>
      <c r="IS76" s="76"/>
      <c r="IT76" s="76"/>
    </row>
    <row r="77" spans="1:254" s="75" customFormat="1">
      <c r="A77" s="211"/>
      <c r="E77" s="74"/>
      <c r="F77" s="459"/>
      <c r="H77" s="467"/>
      <c r="I77" s="467"/>
      <c r="K77" s="93"/>
      <c r="L77" s="74"/>
      <c r="S77" s="74"/>
      <c r="T77" s="74"/>
      <c r="U77" s="74"/>
      <c r="V77" s="74"/>
      <c r="W77" s="74"/>
      <c r="X77" s="74"/>
      <c r="Y77" s="74"/>
      <c r="Z77" s="74"/>
      <c r="AA77" s="74"/>
      <c r="AB77" s="74"/>
      <c r="AC77" s="74"/>
      <c r="AD77" s="74"/>
      <c r="AE77" s="74"/>
      <c r="AF77" s="74"/>
      <c r="AG77" s="93"/>
      <c r="AH77" s="93"/>
      <c r="BN77" s="74"/>
      <c r="BO77" s="463"/>
      <c r="BP77" s="125"/>
      <c r="BQ77" s="125"/>
      <c r="BR77" s="125"/>
      <c r="BS77" s="125"/>
      <c r="CT77" s="79"/>
      <c r="CU77" s="79"/>
      <c r="CV77" s="79"/>
      <c r="CW77" s="79"/>
      <c r="CX77" s="79"/>
      <c r="DG77" s="79"/>
      <c r="DH77" s="79"/>
      <c r="DI77" s="79"/>
      <c r="DJ77" s="79"/>
      <c r="DK77" s="79"/>
      <c r="DV77" s="464"/>
      <c r="DW77" s="464"/>
      <c r="DX77" s="465"/>
      <c r="DY77" s="465"/>
      <c r="DZ77" s="465"/>
      <c r="EA77" s="465"/>
      <c r="EB77" s="466"/>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H77" s="76"/>
      <c r="FI77" s="76"/>
      <c r="FJ77" s="76"/>
      <c r="FK77" s="76"/>
      <c r="FL77" s="76"/>
      <c r="FM77" s="76"/>
      <c r="FN77" s="76"/>
      <c r="FO77" s="76"/>
      <c r="FP77" s="76"/>
      <c r="FQ77" s="76"/>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6"/>
      <c r="IF77" s="76"/>
      <c r="IG77" s="76"/>
      <c r="IH77" s="76"/>
      <c r="II77" s="76"/>
      <c r="IJ77" s="76"/>
      <c r="IK77" s="76"/>
      <c r="IL77" s="76"/>
      <c r="IM77" s="76"/>
      <c r="IN77" s="76"/>
      <c r="IO77" s="76"/>
      <c r="IP77" s="76"/>
      <c r="IQ77" s="76"/>
      <c r="IR77" s="76"/>
      <c r="IS77" s="76"/>
      <c r="IT77" s="76"/>
    </row>
    <row r="78" spans="1:254" s="75" customFormat="1">
      <c r="A78" s="211"/>
      <c r="E78" s="74"/>
      <c r="F78" s="459"/>
      <c r="H78" s="467"/>
      <c r="I78" s="467"/>
      <c r="K78" s="93"/>
      <c r="L78" s="74"/>
      <c r="S78" s="74"/>
      <c r="T78" s="74"/>
      <c r="U78" s="74"/>
      <c r="V78" s="74"/>
      <c r="W78" s="74"/>
      <c r="X78" s="74"/>
      <c r="Y78" s="74"/>
      <c r="Z78" s="74"/>
      <c r="AA78" s="74"/>
      <c r="AB78" s="74"/>
      <c r="AC78" s="74"/>
      <c r="AD78" s="74"/>
      <c r="AE78" s="74"/>
      <c r="AF78" s="74"/>
      <c r="AG78" s="93"/>
      <c r="AH78" s="93"/>
      <c r="BN78" s="74"/>
      <c r="BO78" s="463"/>
      <c r="BP78" s="125"/>
      <c r="BQ78" s="125"/>
      <c r="BR78" s="125"/>
      <c r="BS78" s="125"/>
      <c r="CT78" s="79"/>
      <c r="CU78" s="79"/>
      <c r="CV78" s="79"/>
      <c r="CW78" s="79"/>
      <c r="CX78" s="79"/>
      <c r="DG78" s="79"/>
      <c r="DH78" s="79"/>
      <c r="DI78" s="79"/>
      <c r="DJ78" s="79"/>
      <c r="DK78" s="79"/>
      <c r="DV78" s="464"/>
      <c r="DW78" s="464"/>
      <c r="DX78" s="465"/>
      <c r="DY78" s="465"/>
      <c r="DZ78" s="465"/>
      <c r="EA78" s="465"/>
      <c r="EB78" s="466"/>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c r="GP78" s="76"/>
      <c r="GQ78" s="76"/>
      <c r="GR78" s="76"/>
      <c r="GS78" s="76"/>
      <c r="GT78" s="76"/>
      <c r="GU78" s="76"/>
      <c r="GV78" s="76"/>
      <c r="GW78" s="76"/>
      <c r="GX78" s="76"/>
      <c r="GY78" s="76"/>
      <c r="GZ78" s="76"/>
      <c r="HA78" s="76"/>
      <c r="HB78" s="76"/>
      <c r="HC78" s="76"/>
      <c r="HD78" s="76"/>
      <c r="HE78" s="76"/>
      <c r="HF78" s="76"/>
      <c r="HG78" s="76"/>
      <c r="HH78" s="76"/>
      <c r="HI78" s="76"/>
      <c r="HJ78" s="76"/>
      <c r="HK78" s="76"/>
      <c r="HL78" s="76"/>
      <c r="HM78" s="76"/>
      <c r="HN78" s="76"/>
      <c r="HO78" s="76"/>
      <c r="HP78" s="76"/>
      <c r="HQ78" s="76"/>
      <c r="HR78" s="76"/>
      <c r="HS78" s="76"/>
      <c r="HT78" s="76"/>
      <c r="HU78" s="76"/>
      <c r="HV78" s="76"/>
      <c r="HW78" s="76"/>
      <c r="HX78" s="76"/>
      <c r="HY78" s="76"/>
      <c r="HZ78" s="76"/>
      <c r="IA78" s="76"/>
      <c r="IB78" s="76"/>
      <c r="IC78" s="76"/>
      <c r="ID78" s="76"/>
      <c r="IE78" s="76"/>
      <c r="IF78" s="76"/>
      <c r="IG78" s="76"/>
      <c r="IH78" s="76"/>
      <c r="II78" s="76"/>
      <c r="IJ78" s="76"/>
      <c r="IK78" s="76"/>
      <c r="IL78" s="76"/>
      <c r="IM78" s="76"/>
      <c r="IN78" s="76"/>
      <c r="IO78" s="76"/>
      <c r="IP78" s="76"/>
      <c r="IQ78" s="76"/>
      <c r="IR78" s="76"/>
      <c r="IS78" s="76"/>
      <c r="IT78" s="76"/>
    </row>
    <row r="79" spans="1:254" s="75" customFormat="1">
      <c r="A79" s="211"/>
      <c r="E79" s="74"/>
      <c r="F79" s="459"/>
      <c r="H79" s="467"/>
      <c r="I79" s="467"/>
      <c r="K79" s="93"/>
      <c r="L79" s="74"/>
      <c r="S79" s="74"/>
      <c r="T79" s="74"/>
      <c r="U79" s="74"/>
      <c r="V79" s="74"/>
      <c r="W79" s="74"/>
      <c r="X79" s="74"/>
      <c r="Y79" s="74"/>
      <c r="Z79" s="74"/>
      <c r="AA79" s="74"/>
      <c r="AB79" s="74"/>
      <c r="AC79" s="74"/>
      <c r="AD79" s="74"/>
      <c r="AE79" s="74"/>
      <c r="AF79" s="74"/>
      <c r="AG79" s="93"/>
      <c r="AH79" s="93"/>
      <c r="BN79" s="74"/>
      <c r="BO79" s="463"/>
      <c r="BP79" s="125"/>
      <c r="BQ79" s="125"/>
      <c r="BR79" s="125"/>
      <c r="BS79" s="125"/>
      <c r="CT79" s="79"/>
      <c r="CU79" s="79"/>
      <c r="CV79" s="79"/>
      <c r="CW79" s="79"/>
      <c r="CX79" s="79"/>
      <c r="DG79" s="79"/>
      <c r="DH79" s="79"/>
      <c r="DI79" s="79"/>
      <c r="DJ79" s="79"/>
      <c r="DK79" s="79"/>
      <c r="DV79" s="468"/>
      <c r="DW79" s="468"/>
      <c r="DX79" s="465"/>
      <c r="DY79" s="465"/>
      <c r="DZ79" s="465"/>
      <c r="EA79" s="465"/>
      <c r="EB79" s="466"/>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6"/>
      <c r="IM79" s="76"/>
      <c r="IN79" s="76"/>
      <c r="IO79" s="76"/>
      <c r="IP79" s="76"/>
      <c r="IQ79" s="76"/>
      <c r="IR79" s="76"/>
      <c r="IS79" s="76"/>
      <c r="IT79" s="76"/>
    </row>
    <row r="80" spans="1:254" s="75" customFormat="1">
      <c r="A80" s="211"/>
      <c r="E80" s="74"/>
      <c r="F80" s="459"/>
      <c r="H80" s="467"/>
      <c r="I80" s="467"/>
      <c r="K80" s="93"/>
      <c r="L80" s="74"/>
      <c r="S80" s="74"/>
      <c r="T80" s="74"/>
      <c r="U80" s="74"/>
      <c r="V80" s="74"/>
      <c r="W80" s="74"/>
      <c r="X80" s="74"/>
      <c r="Y80" s="74"/>
      <c r="Z80" s="74"/>
      <c r="AA80" s="74"/>
      <c r="AB80" s="74"/>
      <c r="AC80" s="74"/>
      <c r="AD80" s="74"/>
      <c r="AE80" s="74"/>
      <c r="AF80" s="74"/>
      <c r="AG80" s="93"/>
      <c r="AH80" s="93"/>
      <c r="BN80" s="74"/>
      <c r="BO80" s="463"/>
      <c r="BP80" s="125"/>
      <c r="BQ80" s="125"/>
      <c r="BR80" s="125"/>
      <c r="BS80" s="125"/>
      <c r="CT80" s="79"/>
      <c r="CU80" s="79"/>
      <c r="CV80" s="79"/>
      <c r="CW80" s="79"/>
      <c r="CX80" s="79"/>
      <c r="DG80" s="79"/>
      <c r="DH80" s="79"/>
      <c r="DI80" s="79"/>
      <c r="DJ80" s="79"/>
      <c r="DK80" s="79"/>
      <c r="DV80" s="465"/>
      <c r="DW80" s="465"/>
      <c r="DX80" s="465"/>
      <c r="DY80" s="465"/>
      <c r="DZ80" s="465"/>
      <c r="EA80" s="465"/>
      <c r="EB80" s="466"/>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c r="IG80" s="76"/>
      <c r="IH80" s="76"/>
      <c r="II80" s="76"/>
      <c r="IJ80" s="76"/>
      <c r="IK80" s="76"/>
      <c r="IL80" s="76"/>
      <c r="IM80" s="76"/>
      <c r="IN80" s="76"/>
      <c r="IO80" s="76"/>
      <c r="IP80" s="76"/>
      <c r="IQ80" s="76"/>
      <c r="IR80" s="76"/>
      <c r="IS80" s="76"/>
      <c r="IT80" s="76"/>
    </row>
    <row r="81" spans="1:254" s="75" customFormat="1">
      <c r="A81" s="211"/>
      <c r="E81" s="74"/>
      <c r="F81" s="459"/>
      <c r="H81" s="467"/>
      <c r="I81" s="467"/>
      <c r="K81" s="93"/>
      <c r="L81" s="74"/>
      <c r="S81" s="74"/>
      <c r="T81" s="74"/>
      <c r="U81" s="74"/>
      <c r="V81" s="74"/>
      <c r="W81" s="74"/>
      <c r="X81" s="74"/>
      <c r="Y81" s="74"/>
      <c r="Z81" s="74"/>
      <c r="AA81" s="74"/>
      <c r="AB81" s="74"/>
      <c r="AC81" s="74"/>
      <c r="AD81" s="74"/>
      <c r="AE81" s="74"/>
      <c r="AF81" s="74"/>
      <c r="AG81" s="93"/>
      <c r="AH81" s="93"/>
      <c r="BN81" s="74"/>
      <c r="BO81" s="463"/>
      <c r="BP81" s="125"/>
      <c r="BQ81" s="125"/>
      <c r="BR81" s="125"/>
      <c r="BS81" s="125"/>
      <c r="CT81" s="79"/>
      <c r="CU81" s="79"/>
      <c r="CV81" s="79"/>
      <c r="CW81" s="79"/>
      <c r="CX81" s="79"/>
      <c r="DG81" s="79"/>
      <c r="DH81" s="79"/>
      <c r="DI81" s="79"/>
      <c r="DJ81" s="79"/>
      <c r="DK81" s="79"/>
      <c r="DV81" s="465"/>
      <c r="DW81" s="465"/>
      <c r="DX81" s="465"/>
      <c r="DY81" s="465"/>
      <c r="DZ81" s="465"/>
      <c r="EA81" s="465"/>
      <c r="EB81" s="466"/>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c r="IM81" s="76"/>
      <c r="IN81" s="76"/>
      <c r="IO81" s="76"/>
      <c r="IP81" s="76"/>
      <c r="IQ81" s="76"/>
      <c r="IR81" s="76"/>
      <c r="IS81" s="76"/>
      <c r="IT81" s="76"/>
    </row>
    <row r="82" spans="1:254" s="161" customFormat="1">
      <c r="A82" s="211"/>
      <c r="E82" s="159"/>
      <c r="F82" s="182"/>
      <c r="H82" s="121"/>
      <c r="I82" s="121"/>
      <c r="K82" s="175"/>
      <c r="L82" s="159"/>
      <c r="S82" s="159"/>
      <c r="T82" s="159"/>
      <c r="U82" s="159"/>
      <c r="V82" s="159"/>
      <c r="W82" s="159"/>
      <c r="X82" s="159"/>
      <c r="Y82" s="159"/>
      <c r="Z82" s="159"/>
      <c r="AA82" s="159"/>
      <c r="AB82" s="159"/>
      <c r="AC82" s="159"/>
      <c r="AD82" s="159"/>
      <c r="AE82" s="159"/>
      <c r="AF82" s="159"/>
      <c r="AG82" s="175"/>
      <c r="AH82" s="175"/>
      <c r="BN82" s="159"/>
      <c r="BO82" s="169"/>
      <c r="BP82" s="170"/>
      <c r="BQ82" s="170"/>
      <c r="BR82" s="170"/>
      <c r="BS82" s="170"/>
      <c r="CT82" s="171"/>
      <c r="CU82" s="171"/>
      <c r="CV82" s="171"/>
      <c r="CW82" s="171"/>
      <c r="CX82" s="171"/>
      <c r="DG82" s="171"/>
      <c r="DH82" s="171"/>
      <c r="DI82" s="171"/>
      <c r="DJ82" s="171"/>
      <c r="DK82" s="171"/>
      <c r="DV82" s="172"/>
      <c r="DW82" s="172"/>
      <c r="DX82" s="172"/>
      <c r="DY82" s="172"/>
      <c r="DZ82" s="172"/>
      <c r="EA82" s="172"/>
      <c r="EB82" s="173"/>
      <c r="EC82" s="181"/>
      <c r="ED82" s="181"/>
      <c r="EE82" s="181"/>
      <c r="EF82" s="181"/>
      <c r="EG82" s="181"/>
      <c r="EH82" s="181"/>
      <c r="EI82" s="181"/>
      <c r="EJ82" s="181"/>
      <c r="EK82" s="181"/>
      <c r="EL82" s="181"/>
      <c r="EM82" s="181"/>
      <c r="EN82" s="181"/>
      <c r="EO82" s="181"/>
      <c r="EP82" s="181"/>
      <c r="EQ82" s="181"/>
      <c r="ER82" s="181"/>
      <c r="ES82" s="181"/>
      <c r="ET82" s="181"/>
      <c r="EU82" s="181"/>
      <c r="EV82" s="181"/>
      <c r="EW82" s="181"/>
      <c r="EX82" s="181"/>
      <c r="EY82" s="181"/>
      <c r="EZ82" s="181"/>
      <c r="FA82" s="181"/>
      <c r="FB82" s="181"/>
      <c r="FC82" s="181"/>
      <c r="FD82" s="181"/>
      <c r="FE82" s="181"/>
      <c r="FF82" s="181"/>
      <c r="FH82" s="178"/>
      <c r="FI82" s="178"/>
      <c r="FJ82" s="178"/>
      <c r="FK82" s="178"/>
      <c r="FL82" s="178"/>
      <c r="FM82" s="178"/>
      <c r="FN82" s="178"/>
      <c r="FO82" s="178"/>
      <c r="FP82" s="178"/>
      <c r="FQ82" s="178"/>
      <c r="FR82" s="178"/>
      <c r="FS82" s="178"/>
      <c r="FT82" s="178"/>
      <c r="FU82" s="178"/>
      <c r="FV82" s="178"/>
      <c r="FW82" s="178"/>
      <c r="FX82" s="178"/>
      <c r="FY82" s="178"/>
      <c r="FZ82" s="178"/>
      <c r="GA82" s="178"/>
      <c r="GB82" s="178"/>
      <c r="GC82" s="178"/>
      <c r="GD82" s="178"/>
      <c r="GE82" s="178"/>
      <c r="GF82" s="178"/>
      <c r="GG82" s="178"/>
      <c r="GH82" s="178"/>
      <c r="GI82" s="178"/>
      <c r="GJ82" s="178"/>
      <c r="GK82" s="178"/>
      <c r="GL82" s="178"/>
      <c r="GM82" s="178"/>
      <c r="GN82" s="178"/>
      <c r="GO82" s="178"/>
      <c r="GP82" s="178"/>
      <c r="GQ82" s="178"/>
      <c r="GR82" s="178"/>
      <c r="GS82" s="178"/>
      <c r="GT82" s="178"/>
      <c r="GU82" s="178"/>
      <c r="GV82" s="178"/>
      <c r="GW82" s="178"/>
      <c r="GX82" s="178"/>
      <c r="GY82" s="178"/>
      <c r="GZ82" s="178"/>
      <c r="HA82" s="178"/>
      <c r="HB82" s="178"/>
      <c r="HC82" s="178"/>
      <c r="HD82" s="178"/>
      <c r="HE82" s="178"/>
      <c r="HF82" s="178"/>
      <c r="HG82" s="178"/>
      <c r="HH82" s="178"/>
      <c r="HI82" s="178"/>
      <c r="HJ82" s="178"/>
      <c r="HK82" s="178"/>
      <c r="HL82" s="178"/>
      <c r="HM82" s="178"/>
      <c r="HN82" s="178"/>
      <c r="HO82" s="178"/>
      <c r="HP82" s="178"/>
      <c r="HQ82" s="178"/>
      <c r="HR82" s="178"/>
      <c r="HS82" s="178"/>
      <c r="HT82" s="178"/>
      <c r="HU82" s="178"/>
      <c r="HV82" s="178"/>
      <c r="HW82" s="178"/>
      <c r="HX82" s="178"/>
      <c r="HY82" s="178"/>
      <c r="HZ82" s="178"/>
      <c r="IA82" s="178"/>
      <c r="IB82" s="178"/>
      <c r="IC82" s="178"/>
      <c r="ID82" s="178"/>
      <c r="IE82" s="178"/>
      <c r="IF82" s="178"/>
      <c r="IG82" s="178"/>
      <c r="IH82" s="178"/>
      <c r="II82" s="178"/>
      <c r="IJ82" s="178"/>
      <c r="IK82" s="178"/>
      <c r="IL82" s="178"/>
      <c r="IM82" s="178"/>
      <c r="IN82" s="178"/>
      <c r="IO82" s="178"/>
      <c r="IP82" s="178"/>
      <c r="IQ82" s="178"/>
      <c r="IR82" s="178"/>
      <c r="IS82" s="178"/>
      <c r="IT82" s="178"/>
    </row>
    <row r="83" spans="1:254" s="161" customFormat="1">
      <c r="A83" s="211"/>
      <c r="E83" s="159"/>
      <c r="F83" s="182"/>
      <c r="H83" s="121"/>
      <c r="I83" s="121"/>
      <c r="K83" s="175"/>
      <c r="L83" s="159"/>
      <c r="S83" s="159"/>
      <c r="T83" s="159"/>
      <c r="U83" s="159"/>
      <c r="V83" s="159"/>
      <c r="W83" s="159"/>
      <c r="X83" s="159"/>
      <c r="Y83" s="159"/>
      <c r="Z83" s="159"/>
      <c r="AA83" s="159"/>
      <c r="AB83" s="159"/>
      <c r="AC83" s="159"/>
      <c r="AD83" s="159"/>
      <c r="AE83" s="159"/>
      <c r="AF83" s="159"/>
      <c r="AG83" s="175"/>
      <c r="AH83" s="175"/>
      <c r="BN83" s="159"/>
      <c r="BO83" s="169"/>
      <c r="BP83" s="170"/>
      <c r="BQ83" s="170"/>
      <c r="BR83" s="170"/>
      <c r="BS83" s="170"/>
      <c r="CT83" s="171"/>
      <c r="CU83" s="171"/>
      <c r="CV83" s="171"/>
      <c r="CW83" s="171"/>
      <c r="CX83" s="171"/>
      <c r="DG83" s="171"/>
      <c r="DH83" s="171"/>
      <c r="DI83" s="171"/>
      <c r="DJ83" s="171"/>
      <c r="DK83" s="171"/>
      <c r="DV83" s="172"/>
      <c r="DW83" s="172"/>
      <c r="DX83" s="172"/>
      <c r="DY83" s="172"/>
      <c r="DZ83" s="172"/>
      <c r="EA83" s="172"/>
      <c r="EB83" s="173"/>
      <c r="EC83" s="181"/>
      <c r="ED83" s="181"/>
      <c r="EE83" s="181"/>
      <c r="EF83" s="181"/>
      <c r="EG83" s="181"/>
      <c r="EH83" s="181"/>
      <c r="EI83" s="181"/>
      <c r="EJ83" s="181"/>
      <c r="EK83" s="181"/>
      <c r="EL83" s="181"/>
      <c r="EM83" s="181"/>
      <c r="EN83" s="181"/>
      <c r="EO83" s="181"/>
      <c r="EP83" s="181"/>
      <c r="EQ83" s="181"/>
      <c r="ER83" s="181"/>
      <c r="ES83" s="181"/>
      <c r="ET83" s="181"/>
      <c r="EU83" s="181"/>
      <c r="EV83" s="181"/>
      <c r="EW83" s="181"/>
      <c r="EX83" s="181"/>
      <c r="EY83" s="181"/>
      <c r="EZ83" s="181"/>
      <c r="FA83" s="181"/>
      <c r="FB83" s="181"/>
      <c r="FC83" s="181"/>
      <c r="FD83" s="181"/>
      <c r="FE83" s="181"/>
      <c r="FF83" s="181"/>
      <c r="FH83" s="178"/>
      <c r="FI83" s="178"/>
      <c r="FJ83" s="178"/>
      <c r="FK83" s="178"/>
      <c r="FL83" s="178"/>
      <c r="FM83" s="178"/>
      <c r="FN83" s="178"/>
      <c r="FO83" s="178"/>
      <c r="FP83" s="178"/>
      <c r="FQ83" s="178"/>
      <c r="FR83" s="178"/>
      <c r="FS83" s="178"/>
      <c r="FT83" s="178"/>
      <c r="FU83" s="178"/>
      <c r="FV83" s="178"/>
      <c r="FW83" s="178"/>
      <c r="FX83" s="178"/>
      <c r="FY83" s="178"/>
      <c r="FZ83" s="178"/>
      <c r="GA83" s="178"/>
      <c r="GB83" s="178"/>
      <c r="GC83" s="178"/>
      <c r="GD83" s="178"/>
      <c r="GE83" s="178"/>
      <c r="GF83" s="178"/>
      <c r="GG83" s="178"/>
      <c r="GH83" s="178"/>
      <c r="GI83" s="178"/>
      <c r="GJ83" s="178"/>
      <c r="GK83" s="178"/>
      <c r="GL83" s="178"/>
      <c r="GM83" s="178"/>
      <c r="GN83" s="178"/>
      <c r="GO83" s="178"/>
      <c r="GP83" s="178"/>
      <c r="GQ83" s="178"/>
      <c r="GR83" s="178"/>
      <c r="GS83" s="178"/>
      <c r="GT83" s="178"/>
      <c r="GU83" s="178"/>
      <c r="GV83" s="178"/>
      <c r="GW83" s="178"/>
      <c r="GX83" s="178"/>
      <c r="GY83" s="178"/>
      <c r="GZ83" s="178"/>
      <c r="HA83" s="178"/>
      <c r="HB83" s="178"/>
      <c r="HC83" s="178"/>
      <c r="HD83" s="178"/>
      <c r="HE83" s="178"/>
      <c r="HF83" s="178"/>
      <c r="HG83" s="178"/>
      <c r="HH83" s="178"/>
      <c r="HI83" s="178"/>
      <c r="HJ83" s="178"/>
      <c r="HK83" s="178"/>
      <c r="HL83" s="178"/>
      <c r="HM83" s="178"/>
      <c r="HN83" s="178"/>
      <c r="HO83" s="178"/>
      <c r="HP83" s="178"/>
      <c r="HQ83" s="178"/>
      <c r="HR83" s="178"/>
      <c r="HS83" s="178"/>
      <c r="HT83" s="178"/>
      <c r="HU83" s="178"/>
      <c r="HV83" s="178"/>
      <c r="HW83" s="178"/>
      <c r="HX83" s="178"/>
      <c r="HY83" s="178"/>
      <c r="HZ83" s="178"/>
      <c r="IA83" s="178"/>
      <c r="IB83" s="178"/>
      <c r="IC83" s="178"/>
      <c r="ID83" s="178"/>
      <c r="IE83" s="178"/>
      <c r="IF83" s="178"/>
      <c r="IG83" s="178"/>
      <c r="IH83" s="178"/>
      <c r="II83" s="178"/>
      <c r="IJ83" s="178"/>
      <c r="IK83" s="178"/>
      <c r="IL83" s="178"/>
      <c r="IM83" s="178"/>
      <c r="IN83" s="178"/>
      <c r="IO83" s="178"/>
      <c r="IP83" s="178"/>
      <c r="IQ83" s="178"/>
      <c r="IR83" s="178"/>
      <c r="IS83" s="178"/>
      <c r="IT83" s="178"/>
    </row>
    <row r="84" spans="1:254" s="161" customFormat="1">
      <c r="A84" s="211"/>
      <c r="E84" s="159"/>
      <c r="F84" s="182"/>
      <c r="H84" s="121"/>
      <c r="I84" s="121"/>
      <c r="K84" s="175"/>
      <c r="L84" s="159"/>
      <c r="S84" s="159"/>
      <c r="T84" s="159"/>
      <c r="U84" s="159"/>
      <c r="V84" s="159"/>
      <c r="W84" s="159"/>
      <c r="X84" s="159"/>
      <c r="Y84" s="159"/>
      <c r="Z84" s="159"/>
      <c r="AA84" s="159"/>
      <c r="AB84" s="159"/>
      <c r="AC84" s="159"/>
      <c r="AD84" s="159"/>
      <c r="AE84" s="159"/>
      <c r="AF84" s="159"/>
      <c r="AG84" s="175"/>
      <c r="AH84" s="175"/>
      <c r="BN84" s="159"/>
      <c r="BO84" s="169"/>
      <c r="BP84" s="170"/>
      <c r="BQ84" s="170"/>
      <c r="BR84" s="170"/>
      <c r="BS84" s="170"/>
      <c r="CT84" s="171"/>
      <c r="CU84" s="171"/>
      <c r="CV84" s="171"/>
      <c r="CW84" s="171"/>
      <c r="CX84" s="171"/>
      <c r="DG84" s="171"/>
      <c r="DH84" s="171"/>
      <c r="DI84" s="171"/>
      <c r="DJ84" s="171"/>
      <c r="DK84" s="171"/>
      <c r="DV84" s="172"/>
      <c r="DW84" s="172"/>
      <c r="DX84" s="172"/>
      <c r="DY84" s="172"/>
      <c r="DZ84" s="172"/>
      <c r="EA84" s="172"/>
      <c r="EB84" s="173"/>
      <c r="EC84" s="181"/>
      <c r="ED84" s="181"/>
      <c r="EE84" s="181"/>
      <c r="EF84" s="181"/>
      <c r="EG84" s="181"/>
      <c r="EH84" s="181"/>
      <c r="EI84" s="181"/>
      <c r="EJ84" s="181"/>
      <c r="EK84" s="181"/>
      <c r="EL84" s="181"/>
      <c r="EM84" s="181"/>
      <c r="EN84" s="181"/>
      <c r="EO84" s="181"/>
      <c r="EP84" s="181"/>
      <c r="EQ84" s="181"/>
      <c r="ER84" s="181"/>
      <c r="ES84" s="181"/>
      <c r="ET84" s="181"/>
      <c r="EU84" s="181"/>
      <c r="EV84" s="181"/>
      <c r="EW84" s="181"/>
      <c r="EX84" s="181"/>
      <c r="EY84" s="181"/>
      <c r="EZ84" s="181"/>
      <c r="FA84" s="181"/>
      <c r="FB84" s="181"/>
      <c r="FC84" s="181"/>
      <c r="FD84" s="181"/>
      <c r="FE84" s="181"/>
      <c r="FF84" s="181"/>
      <c r="FH84" s="178"/>
      <c r="FI84" s="178"/>
      <c r="FJ84" s="178"/>
      <c r="FK84" s="178"/>
      <c r="FL84" s="178"/>
      <c r="FM84" s="178"/>
      <c r="FN84" s="178"/>
      <c r="FO84" s="178"/>
      <c r="FP84" s="178"/>
      <c r="FQ84" s="178"/>
      <c r="FR84" s="178"/>
      <c r="FS84" s="178"/>
      <c r="FT84" s="178"/>
      <c r="FU84" s="178"/>
      <c r="FV84" s="178"/>
      <c r="FW84" s="178"/>
      <c r="FX84" s="178"/>
      <c r="FY84" s="178"/>
      <c r="FZ84" s="178"/>
      <c r="GA84" s="178"/>
      <c r="GB84" s="178"/>
      <c r="GC84" s="178"/>
      <c r="GD84" s="178"/>
      <c r="GE84" s="178"/>
      <c r="GF84" s="178"/>
      <c r="GG84" s="178"/>
      <c r="GH84" s="178"/>
      <c r="GI84" s="178"/>
      <c r="GJ84" s="178"/>
      <c r="GK84" s="178"/>
      <c r="GL84" s="178"/>
      <c r="GM84" s="178"/>
      <c r="GN84" s="178"/>
      <c r="GO84" s="178"/>
      <c r="GP84" s="178"/>
      <c r="GQ84" s="178"/>
      <c r="GR84" s="178"/>
      <c r="GS84" s="178"/>
      <c r="GT84" s="178"/>
      <c r="GU84" s="178"/>
      <c r="GV84" s="178"/>
      <c r="GW84" s="178"/>
      <c r="GX84" s="178"/>
      <c r="GY84" s="178"/>
      <c r="GZ84" s="178"/>
      <c r="HA84" s="178"/>
      <c r="HB84" s="178"/>
      <c r="HC84" s="178"/>
      <c r="HD84" s="178"/>
      <c r="HE84" s="178"/>
      <c r="HF84" s="178"/>
      <c r="HG84" s="178"/>
      <c r="HH84" s="178"/>
      <c r="HI84" s="178"/>
      <c r="HJ84" s="178"/>
      <c r="HK84" s="178"/>
      <c r="HL84" s="178"/>
      <c r="HM84" s="178"/>
      <c r="HN84" s="178"/>
      <c r="HO84" s="178"/>
      <c r="HP84" s="178"/>
      <c r="HQ84" s="178"/>
      <c r="HR84" s="178"/>
      <c r="HS84" s="178"/>
      <c r="HT84" s="178"/>
      <c r="HU84" s="178"/>
      <c r="HV84" s="178"/>
      <c r="HW84" s="178"/>
      <c r="HX84" s="178"/>
      <c r="HY84" s="178"/>
      <c r="HZ84" s="178"/>
      <c r="IA84" s="178"/>
      <c r="IB84" s="178"/>
      <c r="IC84" s="178"/>
      <c r="ID84" s="178"/>
      <c r="IE84" s="178"/>
      <c r="IF84" s="178"/>
      <c r="IG84" s="178"/>
      <c r="IH84" s="178"/>
      <c r="II84" s="178"/>
      <c r="IJ84" s="178"/>
      <c r="IK84" s="178"/>
      <c r="IL84" s="178"/>
      <c r="IM84" s="178"/>
      <c r="IN84" s="178"/>
      <c r="IO84" s="178"/>
      <c r="IP84" s="178"/>
      <c r="IQ84" s="178"/>
      <c r="IR84" s="178"/>
      <c r="IS84" s="178"/>
      <c r="IT84" s="178"/>
    </row>
    <row r="85" spans="1:254" s="161" customFormat="1">
      <c r="A85" s="211"/>
      <c r="E85" s="159"/>
      <c r="F85" s="182"/>
      <c r="H85" s="121"/>
      <c r="I85" s="121"/>
      <c r="K85" s="175"/>
      <c r="L85" s="159"/>
      <c r="S85" s="159"/>
      <c r="T85" s="159"/>
      <c r="U85" s="159"/>
      <c r="V85" s="159"/>
      <c r="W85" s="159"/>
      <c r="X85" s="159"/>
      <c r="Y85" s="159"/>
      <c r="Z85" s="159"/>
      <c r="AA85" s="159"/>
      <c r="AB85" s="159"/>
      <c r="AC85" s="159"/>
      <c r="AD85" s="159"/>
      <c r="AE85" s="159"/>
      <c r="AF85" s="159"/>
      <c r="AG85" s="175"/>
      <c r="AH85" s="175"/>
      <c r="BN85" s="159"/>
      <c r="BO85" s="169"/>
      <c r="BP85" s="170"/>
      <c r="BQ85" s="170"/>
      <c r="BR85" s="170"/>
      <c r="BS85" s="170"/>
      <c r="CT85" s="171"/>
      <c r="CU85" s="171"/>
      <c r="CV85" s="171"/>
      <c r="CW85" s="171"/>
      <c r="CX85" s="171"/>
      <c r="DG85" s="171"/>
      <c r="DH85" s="171"/>
      <c r="DI85" s="171"/>
      <c r="DJ85" s="171"/>
      <c r="DK85" s="171"/>
      <c r="DV85" s="172"/>
      <c r="DW85" s="172"/>
      <c r="DX85" s="172"/>
      <c r="DY85" s="172"/>
      <c r="DZ85" s="172"/>
      <c r="EA85" s="172"/>
      <c r="EB85" s="173"/>
      <c r="EC85" s="181"/>
      <c r="ED85" s="181"/>
      <c r="EE85" s="181"/>
      <c r="EF85" s="181"/>
      <c r="EG85" s="181"/>
      <c r="EH85" s="181"/>
      <c r="EI85" s="181"/>
      <c r="EJ85" s="181"/>
      <c r="EK85" s="181"/>
      <c r="EL85" s="181"/>
      <c r="EM85" s="181"/>
      <c r="EN85" s="181"/>
      <c r="EO85" s="181"/>
      <c r="EP85" s="181"/>
      <c r="EQ85" s="181"/>
      <c r="ER85" s="181"/>
      <c r="ES85" s="181"/>
      <c r="ET85" s="181"/>
      <c r="EU85" s="181"/>
      <c r="EV85" s="181"/>
      <c r="EW85" s="181"/>
      <c r="EX85" s="181"/>
      <c r="EY85" s="181"/>
      <c r="EZ85" s="181"/>
      <c r="FA85" s="181"/>
      <c r="FB85" s="181"/>
      <c r="FC85" s="181"/>
      <c r="FD85" s="181"/>
      <c r="FE85" s="181"/>
      <c r="FF85" s="181"/>
      <c r="FH85" s="178"/>
      <c r="FI85" s="178"/>
      <c r="FJ85" s="178"/>
      <c r="FK85" s="178"/>
      <c r="FL85" s="178"/>
      <c r="FM85" s="178"/>
      <c r="FN85" s="178"/>
      <c r="FO85" s="178"/>
      <c r="FP85" s="178"/>
      <c r="FQ85" s="178"/>
      <c r="FR85" s="178"/>
      <c r="FS85" s="178"/>
      <c r="FT85" s="178"/>
      <c r="FU85" s="178"/>
      <c r="FV85" s="178"/>
      <c r="FW85" s="178"/>
      <c r="FX85" s="178"/>
      <c r="FY85" s="178"/>
      <c r="FZ85" s="178"/>
      <c r="GA85" s="178"/>
      <c r="GB85" s="178"/>
      <c r="GC85" s="178"/>
      <c r="GD85" s="178"/>
      <c r="GE85" s="178"/>
      <c r="GF85" s="178"/>
      <c r="GG85" s="178"/>
      <c r="GH85" s="178"/>
      <c r="GI85" s="178"/>
      <c r="GJ85" s="178"/>
      <c r="GK85" s="178"/>
      <c r="GL85" s="178"/>
      <c r="GM85" s="178"/>
      <c r="GN85" s="178"/>
      <c r="GO85" s="178"/>
      <c r="GP85" s="178"/>
      <c r="GQ85" s="178"/>
      <c r="GR85" s="178"/>
      <c r="GS85" s="178"/>
      <c r="GT85" s="178"/>
      <c r="GU85" s="178"/>
      <c r="GV85" s="178"/>
      <c r="GW85" s="178"/>
      <c r="GX85" s="178"/>
      <c r="GY85" s="178"/>
      <c r="GZ85" s="178"/>
      <c r="HA85" s="178"/>
      <c r="HB85" s="178"/>
      <c r="HC85" s="178"/>
      <c r="HD85" s="178"/>
      <c r="HE85" s="178"/>
      <c r="HF85" s="178"/>
      <c r="HG85" s="178"/>
      <c r="HH85" s="178"/>
      <c r="HI85" s="178"/>
      <c r="HJ85" s="178"/>
      <c r="HK85" s="178"/>
      <c r="HL85" s="178"/>
      <c r="HM85" s="178"/>
      <c r="HN85" s="178"/>
      <c r="HO85" s="178"/>
      <c r="HP85" s="178"/>
      <c r="HQ85" s="178"/>
      <c r="HR85" s="178"/>
      <c r="HS85" s="178"/>
      <c r="HT85" s="178"/>
      <c r="HU85" s="178"/>
      <c r="HV85" s="178"/>
      <c r="HW85" s="178"/>
      <c r="HX85" s="178"/>
      <c r="HY85" s="178"/>
      <c r="HZ85" s="178"/>
      <c r="IA85" s="178"/>
      <c r="IB85" s="178"/>
      <c r="IC85" s="178"/>
      <c r="ID85" s="178"/>
      <c r="IE85" s="178"/>
      <c r="IF85" s="178"/>
      <c r="IG85" s="178"/>
      <c r="IH85" s="178"/>
      <c r="II85" s="178"/>
      <c r="IJ85" s="178"/>
      <c r="IK85" s="178"/>
      <c r="IL85" s="178"/>
      <c r="IM85" s="178"/>
      <c r="IN85" s="178"/>
      <c r="IO85" s="178"/>
      <c r="IP85" s="178"/>
      <c r="IQ85" s="178"/>
      <c r="IR85" s="178"/>
      <c r="IS85" s="178"/>
      <c r="IT85" s="178"/>
    </row>
    <row r="86" spans="1:254" s="161" customFormat="1">
      <c r="A86" s="211"/>
      <c r="E86" s="159"/>
      <c r="F86" s="182"/>
      <c r="H86" s="121"/>
      <c r="I86" s="121"/>
      <c r="K86" s="175"/>
      <c r="L86" s="159"/>
      <c r="S86" s="159"/>
      <c r="T86" s="159"/>
      <c r="U86" s="159"/>
      <c r="V86" s="159"/>
      <c r="W86" s="159"/>
      <c r="X86" s="159"/>
      <c r="Y86" s="159"/>
      <c r="Z86" s="159"/>
      <c r="AA86" s="159"/>
      <c r="AB86" s="159"/>
      <c r="AC86" s="159"/>
      <c r="AD86" s="159"/>
      <c r="AE86" s="159"/>
      <c r="AF86" s="159"/>
      <c r="AG86" s="175"/>
      <c r="AH86" s="175"/>
      <c r="BN86" s="159"/>
      <c r="BO86" s="169"/>
      <c r="BP86" s="170"/>
      <c r="BQ86" s="170"/>
      <c r="BR86" s="170"/>
      <c r="BS86" s="170"/>
      <c r="CT86" s="171"/>
      <c r="CU86" s="171"/>
      <c r="CV86" s="171"/>
      <c r="CW86" s="171"/>
      <c r="CX86" s="171"/>
      <c r="DG86" s="171"/>
      <c r="DH86" s="171"/>
      <c r="DI86" s="171"/>
      <c r="DJ86" s="171"/>
      <c r="DK86" s="171"/>
      <c r="DV86" s="172"/>
      <c r="DW86" s="172"/>
      <c r="DX86" s="172"/>
      <c r="DY86" s="172"/>
      <c r="DZ86" s="172"/>
      <c r="EA86" s="172"/>
      <c r="EB86" s="173"/>
      <c r="EC86" s="181"/>
      <c r="ED86" s="181"/>
      <c r="EE86" s="181"/>
      <c r="EF86" s="181"/>
      <c r="EG86" s="181"/>
      <c r="EH86" s="181"/>
      <c r="EI86" s="181"/>
      <c r="EJ86" s="181"/>
      <c r="EK86" s="181"/>
      <c r="EL86" s="181"/>
      <c r="EM86" s="181"/>
      <c r="EN86" s="181"/>
      <c r="EO86" s="181"/>
      <c r="EP86" s="181"/>
      <c r="EQ86" s="181"/>
      <c r="ER86" s="181"/>
      <c r="ES86" s="181"/>
      <c r="ET86" s="181"/>
      <c r="EU86" s="181"/>
      <c r="EV86" s="181"/>
      <c r="EW86" s="181"/>
      <c r="EX86" s="181"/>
      <c r="EY86" s="181"/>
      <c r="EZ86" s="181"/>
      <c r="FA86" s="181"/>
      <c r="FB86" s="181"/>
      <c r="FC86" s="181"/>
      <c r="FD86" s="181"/>
      <c r="FE86" s="181"/>
      <c r="FF86" s="181"/>
      <c r="FH86" s="178"/>
      <c r="FI86" s="178"/>
      <c r="FJ86" s="178"/>
      <c r="FK86" s="178"/>
      <c r="FL86" s="178"/>
      <c r="FM86" s="178"/>
      <c r="FN86" s="178"/>
      <c r="FO86" s="178"/>
      <c r="FP86" s="178"/>
      <c r="FQ86" s="178"/>
      <c r="FR86" s="178"/>
      <c r="FS86" s="178"/>
      <c r="FT86" s="178"/>
      <c r="FU86" s="178"/>
      <c r="FV86" s="178"/>
      <c r="FW86" s="178"/>
      <c r="FX86" s="178"/>
      <c r="FY86" s="178"/>
      <c r="FZ86" s="178"/>
      <c r="GA86" s="178"/>
      <c r="GB86" s="178"/>
      <c r="GC86" s="178"/>
      <c r="GD86" s="178"/>
      <c r="GE86" s="178"/>
      <c r="GF86" s="178"/>
      <c r="GG86" s="178"/>
      <c r="GH86" s="178"/>
      <c r="GI86" s="178"/>
      <c r="GJ86" s="178"/>
      <c r="GK86" s="178"/>
      <c r="GL86" s="178"/>
      <c r="GM86" s="178"/>
      <c r="GN86" s="178"/>
      <c r="GO86" s="178"/>
      <c r="GP86" s="178"/>
      <c r="GQ86" s="178"/>
      <c r="GR86" s="178"/>
      <c r="GS86" s="178"/>
      <c r="GT86" s="178"/>
      <c r="GU86" s="178"/>
      <c r="GV86" s="178"/>
      <c r="GW86" s="178"/>
      <c r="GX86" s="178"/>
      <c r="GY86" s="178"/>
      <c r="GZ86" s="178"/>
      <c r="HA86" s="178"/>
      <c r="HB86" s="178"/>
      <c r="HC86" s="178"/>
      <c r="HD86" s="178"/>
      <c r="HE86" s="178"/>
      <c r="HF86" s="178"/>
      <c r="HG86" s="178"/>
      <c r="HH86" s="178"/>
      <c r="HI86" s="178"/>
      <c r="HJ86" s="178"/>
      <c r="HK86" s="178"/>
      <c r="HL86" s="178"/>
      <c r="HM86" s="178"/>
      <c r="HN86" s="178"/>
      <c r="HO86" s="178"/>
      <c r="HP86" s="178"/>
      <c r="HQ86" s="178"/>
      <c r="HR86" s="178"/>
      <c r="HS86" s="178"/>
      <c r="HT86" s="178"/>
      <c r="HU86" s="178"/>
      <c r="HV86" s="178"/>
      <c r="HW86" s="178"/>
      <c r="HX86" s="178"/>
      <c r="HY86" s="178"/>
      <c r="HZ86" s="178"/>
      <c r="IA86" s="178"/>
      <c r="IB86" s="178"/>
      <c r="IC86" s="178"/>
      <c r="ID86" s="178"/>
      <c r="IE86" s="178"/>
      <c r="IF86" s="178"/>
      <c r="IG86" s="178"/>
      <c r="IH86" s="178"/>
      <c r="II86" s="178"/>
      <c r="IJ86" s="178"/>
      <c r="IK86" s="178"/>
      <c r="IL86" s="178"/>
      <c r="IM86" s="178"/>
      <c r="IN86" s="178"/>
      <c r="IO86" s="178"/>
      <c r="IP86" s="178"/>
      <c r="IQ86" s="178"/>
      <c r="IR86" s="178"/>
      <c r="IS86" s="178"/>
      <c r="IT86" s="178"/>
    </row>
    <row r="87" spans="1:254" s="161" customFormat="1">
      <c r="A87" s="211"/>
      <c r="E87" s="159"/>
      <c r="F87" s="182"/>
      <c r="H87" s="121"/>
      <c r="I87" s="121"/>
      <c r="K87" s="175"/>
      <c r="L87" s="159"/>
      <c r="S87" s="159"/>
      <c r="T87" s="159"/>
      <c r="U87" s="159"/>
      <c r="V87" s="159"/>
      <c r="W87" s="159"/>
      <c r="X87" s="159"/>
      <c r="Y87" s="159"/>
      <c r="Z87" s="159"/>
      <c r="AA87" s="159"/>
      <c r="AB87" s="159"/>
      <c r="AC87" s="159"/>
      <c r="AD87" s="159"/>
      <c r="AE87" s="159"/>
      <c r="AF87" s="159"/>
      <c r="AG87" s="175"/>
      <c r="AH87" s="175"/>
      <c r="BN87" s="159"/>
      <c r="BO87" s="169"/>
      <c r="BP87" s="170"/>
      <c r="BQ87" s="170"/>
      <c r="BR87" s="170"/>
      <c r="BS87" s="170"/>
      <c r="CT87" s="171"/>
      <c r="CU87" s="171"/>
      <c r="CV87" s="171"/>
      <c r="CW87" s="171"/>
      <c r="CX87" s="171"/>
      <c r="DG87" s="171"/>
      <c r="DH87" s="171"/>
      <c r="DI87" s="171"/>
      <c r="DJ87" s="171"/>
      <c r="DK87" s="171"/>
      <c r="DV87" s="172"/>
      <c r="DW87" s="172"/>
      <c r="DX87" s="172"/>
      <c r="DY87" s="172"/>
      <c r="DZ87" s="172"/>
      <c r="EA87" s="172"/>
      <c r="EB87" s="173"/>
      <c r="EC87" s="181"/>
      <c r="ED87" s="181"/>
      <c r="EE87" s="181"/>
      <c r="EF87" s="181"/>
      <c r="EG87" s="181"/>
      <c r="EH87" s="181"/>
      <c r="EI87" s="181"/>
      <c r="EJ87" s="181"/>
      <c r="EK87" s="181"/>
      <c r="EL87" s="181"/>
      <c r="EM87" s="181"/>
      <c r="EN87" s="181"/>
      <c r="EO87" s="181"/>
      <c r="EP87" s="181"/>
      <c r="EQ87" s="181"/>
      <c r="ER87" s="181"/>
      <c r="ES87" s="181"/>
      <c r="ET87" s="181"/>
      <c r="EU87" s="181"/>
      <c r="EV87" s="181"/>
      <c r="EW87" s="181"/>
      <c r="EX87" s="181"/>
      <c r="EY87" s="181"/>
      <c r="EZ87" s="181"/>
      <c r="FA87" s="181"/>
      <c r="FB87" s="181"/>
      <c r="FC87" s="181"/>
      <c r="FD87" s="181"/>
      <c r="FE87" s="181"/>
      <c r="FF87" s="181"/>
      <c r="FH87" s="178"/>
      <c r="FI87" s="178"/>
      <c r="FJ87" s="178"/>
      <c r="FK87" s="178"/>
      <c r="FL87" s="178"/>
      <c r="FM87" s="178"/>
      <c r="FN87" s="178"/>
      <c r="FO87" s="178"/>
      <c r="FP87" s="178"/>
      <c r="FQ87" s="178"/>
      <c r="FR87" s="178"/>
      <c r="FS87" s="178"/>
      <c r="FT87" s="178"/>
      <c r="FU87" s="178"/>
      <c r="FV87" s="178"/>
      <c r="FW87" s="178"/>
      <c r="FX87" s="178"/>
      <c r="FY87" s="178"/>
      <c r="FZ87" s="178"/>
      <c r="GA87" s="178"/>
      <c r="GB87" s="178"/>
      <c r="GC87" s="178"/>
      <c r="GD87" s="178"/>
      <c r="GE87" s="178"/>
      <c r="GF87" s="178"/>
      <c r="GG87" s="178"/>
      <c r="GH87" s="178"/>
      <c r="GI87" s="178"/>
      <c r="GJ87" s="178"/>
      <c r="GK87" s="178"/>
      <c r="GL87" s="178"/>
      <c r="GM87" s="178"/>
      <c r="GN87" s="178"/>
      <c r="GO87" s="178"/>
      <c r="GP87" s="178"/>
      <c r="GQ87" s="178"/>
      <c r="GR87" s="178"/>
      <c r="GS87" s="178"/>
      <c r="GT87" s="178"/>
      <c r="GU87" s="178"/>
      <c r="GV87" s="178"/>
      <c r="GW87" s="178"/>
      <c r="GX87" s="178"/>
      <c r="GY87" s="178"/>
      <c r="GZ87" s="178"/>
      <c r="HA87" s="178"/>
      <c r="HB87" s="178"/>
      <c r="HC87" s="178"/>
      <c r="HD87" s="178"/>
      <c r="HE87" s="178"/>
      <c r="HF87" s="178"/>
      <c r="HG87" s="178"/>
      <c r="HH87" s="178"/>
      <c r="HI87" s="178"/>
      <c r="HJ87" s="178"/>
      <c r="HK87" s="178"/>
      <c r="HL87" s="178"/>
      <c r="HM87" s="178"/>
      <c r="HN87" s="178"/>
      <c r="HO87" s="178"/>
      <c r="HP87" s="178"/>
      <c r="HQ87" s="178"/>
      <c r="HR87" s="178"/>
      <c r="HS87" s="178"/>
      <c r="HT87" s="178"/>
      <c r="HU87" s="178"/>
      <c r="HV87" s="178"/>
      <c r="HW87" s="178"/>
      <c r="HX87" s="178"/>
      <c r="HY87" s="178"/>
      <c r="HZ87" s="178"/>
      <c r="IA87" s="178"/>
      <c r="IB87" s="178"/>
      <c r="IC87" s="178"/>
      <c r="ID87" s="178"/>
      <c r="IE87" s="178"/>
      <c r="IF87" s="178"/>
      <c r="IG87" s="178"/>
      <c r="IH87" s="178"/>
      <c r="II87" s="178"/>
      <c r="IJ87" s="178"/>
      <c r="IK87" s="178"/>
      <c r="IL87" s="178"/>
      <c r="IM87" s="178"/>
      <c r="IN87" s="178"/>
      <c r="IO87" s="178"/>
      <c r="IP87" s="178"/>
      <c r="IQ87" s="178"/>
      <c r="IR87" s="178"/>
      <c r="IS87" s="178"/>
      <c r="IT87" s="178"/>
    </row>
    <row r="88" spans="1:254" s="161" customFormat="1">
      <c r="A88" s="211"/>
      <c r="E88" s="159"/>
      <c r="F88" s="182"/>
      <c r="H88" s="121"/>
      <c r="I88" s="121"/>
      <c r="K88" s="175"/>
      <c r="L88" s="159"/>
      <c r="S88" s="159"/>
      <c r="T88" s="159"/>
      <c r="U88" s="159"/>
      <c r="V88" s="159"/>
      <c r="W88" s="159"/>
      <c r="X88" s="159"/>
      <c r="Y88" s="159"/>
      <c r="Z88" s="159"/>
      <c r="AA88" s="159"/>
      <c r="AB88" s="159"/>
      <c r="AC88" s="159"/>
      <c r="AD88" s="159"/>
      <c r="AE88" s="159"/>
      <c r="AF88" s="159"/>
      <c r="AG88" s="175"/>
      <c r="AH88" s="175"/>
      <c r="BN88" s="159"/>
      <c r="BO88" s="169"/>
      <c r="BP88" s="170"/>
      <c r="BQ88" s="170"/>
      <c r="BR88" s="170"/>
      <c r="BS88" s="170"/>
      <c r="CT88" s="171"/>
      <c r="CU88" s="171"/>
      <c r="CV88" s="171"/>
      <c r="CW88" s="171"/>
      <c r="CX88" s="171"/>
      <c r="DG88" s="171"/>
      <c r="DH88" s="171"/>
      <c r="DI88" s="171"/>
      <c r="DJ88" s="171"/>
      <c r="DK88" s="171"/>
      <c r="DV88" s="172"/>
      <c r="DW88" s="172"/>
      <c r="DX88" s="172"/>
      <c r="DY88" s="172"/>
      <c r="DZ88" s="172"/>
      <c r="EA88" s="172"/>
      <c r="EB88" s="173"/>
      <c r="EC88" s="181"/>
      <c r="ED88" s="181"/>
      <c r="EE88" s="181"/>
      <c r="EF88" s="181"/>
      <c r="EG88" s="181"/>
      <c r="EH88" s="181"/>
      <c r="EI88" s="181"/>
      <c r="EJ88" s="181"/>
      <c r="EK88" s="181"/>
      <c r="EL88" s="181"/>
      <c r="EM88" s="181"/>
      <c r="EN88" s="181"/>
      <c r="EO88" s="181"/>
      <c r="EP88" s="181"/>
      <c r="EQ88" s="181"/>
      <c r="ER88" s="181"/>
      <c r="ES88" s="181"/>
      <c r="ET88" s="181"/>
      <c r="EU88" s="181"/>
      <c r="EV88" s="181"/>
      <c r="EW88" s="181"/>
      <c r="EX88" s="181"/>
      <c r="EY88" s="181"/>
      <c r="EZ88" s="181"/>
      <c r="FA88" s="181"/>
      <c r="FB88" s="181"/>
      <c r="FC88" s="181"/>
      <c r="FD88" s="181"/>
      <c r="FE88" s="181"/>
      <c r="FF88" s="181"/>
      <c r="FH88" s="178"/>
      <c r="FI88" s="178"/>
      <c r="FJ88" s="178"/>
      <c r="FK88" s="178"/>
      <c r="FL88" s="178"/>
      <c r="FM88" s="178"/>
      <c r="FN88" s="178"/>
      <c r="FO88" s="178"/>
      <c r="FP88" s="178"/>
      <c r="FQ88" s="178"/>
      <c r="FR88" s="178"/>
      <c r="FS88" s="178"/>
      <c r="FT88" s="178"/>
      <c r="FU88" s="178"/>
      <c r="FV88" s="178"/>
      <c r="FW88" s="178"/>
      <c r="FX88" s="178"/>
      <c r="FY88" s="178"/>
      <c r="FZ88" s="178"/>
      <c r="GA88" s="178"/>
      <c r="GB88" s="178"/>
      <c r="GC88" s="178"/>
      <c r="GD88" s="178"/>
      <c r="GE88" s="178"/>
      <c r="GF88" s="178"/>
      <c r="GG88" s="178"/>
      <c r="GH88" s="178"/>
      <c r="GI88" s="178"/>
      <c r="GJ88" s="178"/>
      <c r="GK88" s="178"/>
      <c r="GL88" s="178"/>
      <c r="GM88" s="178"/>
      <c r="GN88" s="178"/>
      <c r="GO88" s="178"/>
      <c r="GP88" s="178"/>
      <c r="GQ88" s="178"/>
      <c r="GR88" s="178"/>
      <c r="GS88" s="178"/>
      <c r="GT88" s="178"/>
      <c r="GU88" s="178"/>
      <c r="GV88" s="178"/>
      <c r="GW88" s="178"/>
      <c r="GX88" s="178"/>
      <c r="GY88" s="178"/>
      <c r="GZ88" s="178"/>
      <c r="HA88" s="178"/>
      <c r="HB88" s="178"/>
      <c r="HC88" s="178"/>
      <c r="HD88" s="178"/>
      <c r="HE88" s="178"/>
      <c r="HF88" s="178"/>
      <c r="HG88" s="178"/>
      <c r="HH88" s="178"/>
      <c r="HI88" s="178"/>
      <c r="HJ88" s="178"/>
      <c r="HK88" s="178"/>
      <c r="HL88" s="178"/>
      <c r="HM88" s="178"/>
      <c r="HN88" s="178"/>
      <c r="HO88" s="178"/>
      <c r="HP88" s="178"/>
      <c r="HQ88" s="178"/>
      <c r="HR88" s="178"/>
      <c r="HS88" s="178"/>
      <c r="HT88" s="178"/>
      <c r="HU88" s="178"/>
      <c r="HV88" s="178"/>
      <c r="HW88" s="178"/>
      <c r="HX88" s="178"/>
      <c r="HY88" s="178"/>
      <c r="HZ88" s="178"/>
      <c r="IA88" s="178"/>
      <c r="IB88" s="178"/>
      <c r="IC88" s="178"/>
      <c r="ID88" s="178"/>
      <c r="IE88" s="178"/>
      <c r="IF88" s="178"/>
      <c r="IG88" s="178"/>
      <c r="IH88" s="178"/>
      <c r="II88" s="178"/>
      <c r="IJ88" s="178"/>
      <c r="IK88" s="178"/>
      <c r="IL88" s="178"/>
      <c r="IM88" s="178"/>
      <c r="IN88" s="178"/>
      <c r="IO88" s="178"/>
      <c r="IP88" s="178"/>
      <c r="IQ88" s="178"/>
      <c r="IR88" s="178"/>
      <c r="IS88" s="178"/>
      <c r="IT88" s="178"/>
    </row>
    <row r="89" spans="1:254" s="161" customFormat="1">
      <c r="A89" s="211"/>
      <c r="E89" s="159"/>
      <c r="F89" s="182"/>
      <c r="H89" s="121"/>
      <c r="I89" s="121"/>
      <c r="K89" s="175"/>
      <c r="L89" s="159"/>
      <c r="S89" s="159"/>
      <c r="T89" s="159"/>
      <c r="U89" s="159"/>
      <c r="V89" s="159"/>
      <c r="W89" s="159"/>
      <c r="X89" s="159"/>
      <c r="Y89" s="159"/>
      <c r="Z89" s="159"/>
      <c r="AA89" s="159"/>
      <c r="AB89" s="159"/>
      <c r="AC89" s="159"/>
      <c r="AD89" s="159"/>
      <c r="AE89" s="159"/>
      <c r="AF89" s="159"/>
      <c r="AG89" s="175"/>
      <c r="AH89" s="175"/>
      <c r="BN89" s="159"/>
      <c r="BO89" s="169"/>
      <c r="BP89" s="170"/>
      <c r="BQ89" s="170"/>
      <c r="BR89" s="170"/>
      <c r="BS89" s="170"/>
      <c r="CT89" s="171"/>
      <c r="CU89" s="171"/>
      <c r="CV89" s="171"/>
      <c r="CW89" s="171"/>
      <c r="CX89" s="171"/>
      <c r="DG89" s="171"/>
      <c r="DH89" s="171"/>
      <c r="DI89" s="171"/>
      <c r="DJ89" s="171"/>
      <c r="DK89" s="171"/>
      <c r="DV89" s="172"/>
      <c r="DW89" s="172"/>
      <c r="DX89" s="172"/>
      <c r="DY89" s="172"/>
      <c r="DZ89" s="172"/>
      <c r="EA89" s="172"/>
      <c r="EB89" s="173"/>
      <c r="EC89" s="181"/>
      <c r="ED89" s="181"/>
      <c r="EE89" s="181"/>
      <c r="EF89" s="181"/>
      <c r="EG89" s="181"/>
      <c r="EH89" s="181"/>
      <c r="EI89" s="181"/>
      <c r="EJ89" s="181"/>
      <c r="EK89" s="181"/>
      <c r="EL89" s="181"/>
      <c r="EM89" s="181"/>
      <c r="EN89" s="181"/>
      <c r="EO89" s="181"/>
      <c r="EP89" s="181"/>
      <c r="EQ89" s="181"/>
      <c r="ER89" s="181"/>
      <c r="ES89" s="181"/>
      <c r="ET89" s="181"/>
      <c r="EU89" s="181"/>
      <c r="EV89" s="181"/>
      <c r="EW89" s="181"/>
      <c r="EX89" s="181"/>
      <c r="EY89" s="181"/>
      <c r="EZ89" s="181"/>
      <c r="FA89" s="181"/>
      <c r="FB89" s="181"/>
      <c r="FC89" s="181"/>
      <c r="FD89" s="181"/>
      <c r="FE89" s="181"/>
      <c r="FF89" s="181"/>
      <c r="FH89" s="178"/>
      <c r="FI89" s="178"/>
      <c r="FJ89" s="178"/>
      <c r="FK89" s="178"/>
      <c r="FL89" s="178"/>
      <c r="FM89" s="178"/>
      <c r="FN89" s="178"/>
      <c r="FO89" s="178"/>
      <c r="FP89" s="178"/>
      <c r="FQ89" s="178"/>
      <c r="FR89" s="178"/>
      <c r="FS89" s="178"/>
      <c r="FT89" s="178"/>
      <c r="FU89" s="178"/>
      <c r="FV89" s="178"/>
      <c r="FW89" s="178"/>
      <c r="FX89" s="178"/>
      <c r="FY89" s="178"/>
      <c r="FZ89" s="178"/>
      <c r="GA89" s="178"/>
      <c r="GB89" s="178"/>
      <c r="GC89" s="178"/>
      <c r="GD89" s="178"/>
      <c r="GE89" s="178"/>
      <c r="GF89" s="178"/>
      <c r="GG89" s="178"/>
      <c r="GH89" s="178"/>
      <c r="GI89" s="178"/>
      <c r="GJ89" s="178"/>
      <c r="GK89" s="178"/>
      <c r="GL89" s="178"/>
      <c r="GM89" s="178"/>
      <c r="GN89" s="178"/>
      <c r="GO89" s="178"/>
      <c r="GP89" s="178"/>
      <c r="GQ89" s="178"/>
      <c r="GR89" s="178"/>
      <c r="GS89" s="178"/>
      <c r="GT89" s="178"/>
      <c r="GU89" s="178"/>
      <c r="GV89" s="178"/>
      <c r="GW89" s="178"/>
      <c r="GX89" s="178"/>
      <c r="GY89" s="178"/>
      <c r="GZ89" s="178"/>
      <c r="HA89" s="178"/>
      <c r="HB89" s="178"/>
      <c r="HC89" s="178"/>
      <c r="HD89" s="178"/>
      <c r="HE89" s="178"/>
      <c r="HF89" s="178"/>
      <c r="HG89" s="178"/>
      <c r="HH89" s="178"/>
      <c r="HI89" s="178"/>
      <c r="HJ89" s="178"/>
      <c r="HK89" s="178"/>
      <c r="HL89" s="178"/>
      <c r="HM89" s="178"/>
      <c r="HN89" s="178"/>
      <c r="HO89" s="178"/>
      <c r="HP89" s="178"/>
      <c r="HQ89" s="178"/>
      <c r="HR89" s="178"/>
      <c r="HS89" s="178"/>
      <c r="HT89" s="178"/>
      <c r="HU89" s="178"/>
      <c r="HV89" s="178"/>
      <c r="HW89" s="178"/>
      <c r="HX89" s="178"/>
      <c r="HY89" s="178"/>
      <c r="HZ89" s="178"/>
      <c r="IA89" s="178"/>
      <c r="IB89" s="178"/>
      <c r="IC89" s="178"/>
      <c r="ID89" s="178"/>
      <c r="IE89" s="178"/>
      <c r="IF89" s="178"/>
      <c r="IG89" s="178"/>
      <c r="IH89" s="178"/>
      <c r="II89" s="178"/>
      <c r="IJ89" s="178"/>
      <c r="IK89" s="178"/>
      <c r="IL89" s="178"/>
      <c r="IM89" s="178"/>
      <c r="IN89" s="178"/>
      <c r="IO89" s="178"/>
      <c r="IP89" s="178"/>
      <c r="IQ89" s="178"/>
      <c r="IR89" s="178"/>
      <c r="IS89" s="178"/>
      <c r="IT89" s="178"/>
    </row>
    <row r="90" spans="1:254" s="161" customFormat="1">
      <c r="A90" s="178"/>
      <c r="E90" s="159"/>
      <c r="H90" s="121"/>
      <c r="I90" s="121"/>
      <c r="K90" s="175"/>
      <c r="L90" s="159"/>
      <c r="S90" s="159"/>
      <c r="T90" s="159"/>
      <c r="U90" s="159"/>
      <c r="V90" s="159"/>
      <c r="W90" s="159"/>
      <c r="X90" s="159"/>
      <c r="Y90" s="159"/>
      <c r="Z90" s="159"/>
      <c r="AA90" s="159"/>
      <c r="AB90" s="159"/>
      <c r="AC90" s="159"/>
      <c r="AD90" s="159"/>
      <c r="AE90" s="159"/>
      <c r="AF90" s="159"/>
      <c r="AG90" s="175"/>
      <c r="AH90" s="175"/>
      <c r="EB90" s="174"/>
      <c r="FH90" s="178"/>
      <c r="FI90" s="178"/>
      <c r="FJ90" s="178"/>
      <c r="FK90" s="178"/>
      <c r="FL90" s="178"/>
      <c r="FM90" s="178"/>
      <c r="FN90" s="178"/>
      <c r="FO90" s="178"/>
      <c r="FP90" s="178"/>
      <c r="FQ90" s="178"/>
      <c r="FR90" s="178"/>
      <c r="FS90" s="178"/>
      <c r="FT90" s="178"/>
      <c r="FU90" s="178"/>
      <c r="FV90" s="178"/>
      <c r="FW90" s="178"/>
      <c r="FX90" s="178"/>
      <c r="FY90" s="178"/>
      <c r="FZ90" s="178"/>
      <c r="GA90" s="178"/>
      <c r="GB90" s="178"/>
      <c r="GC90" s="178"/>
      <c r="GD90" s="178"/>
      <c r="GE90" s="178"/>
      <c r="GF90" s="178"/>
      <c r="GG90" s="178"/>
      <c r="GH90" s="178"/>
      <c r="GI90" s="178"/>
      <c r="GJ90" s="178"/>
      <c r="GK90" s="178"/>
      <c r="GL90" s="178"/>
      <c r="GM90" s="178"/>
      <c r="GN90" s="178"/>
      <c r="GO90" s="178"/>
      <c r="GP90" s="178"/>
      <c r="GQ90" s="178"/>
      <c r="GR90" s="178"/>
      <c r="GS90" s="178"/>
      <c r="GT90" s="178"/>
      <c r="GU90" s="178"/>
      <c r="GV90" s="178"/>
      <c r="GW90" s="178"/>
      <c r="GX90" s="178"/>
      <c r="GY90" s="178"/>
      <c r="GZ90" s="178"/>
      <c r="HA90" s="178"/>
      <c r="HB90" s="178"/>
      <c r="HC90" s="178"/>
      <c r="HD90" s="178"/>
      <c r="HE90" s="178"/>
      <c r="HF90" s="178"/>
      <c r="HG90" s="178"/>
      <c r="HH90" s="178"/>
      <c r="HI90" s="178"/>
      <c r="HJ90" s="178"/>
      <c r="HK90" s="178"/>
      <c r="HL90" s="178"/>
      <c r="HM90" s="178"/>
      <c r="HN90" s="178"/>
      <c r="HO90" s="178"/>
      <c r="HP90" s="178"/>
      <c r="HQ90" s="178"/>
      <c r="HR90" s="178"/>
      <c r="HS90" s="178"/>
      <c r="HT90" s="178"/>
      <c r="HU90" s="178"/>
      <c r="HV90" s="178"/>
      <c r="HW90" s="178"/>
      <c r="HX90" s="178"/>
      <c r="HY90" s="178"/>
      <c r="HZ90" s="178"/>
      <c r="IA90" s="178"/>
      <c r="IB90" s="178"/>
      <c r="IC90" s="178"/>
      <c r="ID90" s="178"/>
      <c r="IE90" s="178"/>
      <c r="IF90" s="178"/>
      <c r="IG90" s="178"/>
      <c r="IH90" s="178"/>
      <c r="II90" s="178"/>
      <c r="IJ90" s="178"/>
      <c r="IK90" s="178"/>
      <c r="IL90" s="178"/>
      <c r="IM90" s="178"/>
      <c r="IN90" s="178"/>
      <c r="IO90" s="178"/>
      <c r="IP90" s="178"/>
      <c r="IQ90" s="178"/>
      <c r="IR90" s="178"/>
      <c r="IS90" s="178"/>
      <c r="IT90" s="178"/>
    </row>
    <row r="91" spans="1:254" s="161" customFormat="1">
      <c r="A91" s="178"/>
      <c r="E91" s="159"/>
      <c r="H91" s="121"/>
      <c r="I91" s="121"/>
      <c r="K91" s="175"/>
      <c r="L91" s="159"/>
      <c r="S91" s="159"/>
      <c r="T91" s="159"/>
      <c r="U91" s="159"/>
      <c r="V91" s="159"/>
      <c r="W91" s="159"/>
      <c r="X91" s="159"/>
      <c r="Y91" s="159"/>
      <c r="Z91" s="159"/>
      <c r="AA91" s="159"/>
      <c r="AB91" s="159"/>
      <c r="AC91" s="159"/>
      <c r="AD91" s="159"/>
      <c r="AE91" s="159"/>
      <c r="AF91" s="159"/>
      <c r="AG91" s="175"/>
      <c r="AH91" s="175"/>
      <c r="EB91" s="174"/>
      <c r="FH91" s="178"/>
      <c r="FI91" s="178"/>
      <c r="FJ91" s="178"/>
      <c r="FK91" s="178"/>
      <c r="FL91" s="178"/>
      <c r="FM91" s="178"/>
      <c r="FN91" s="178"/>
      <c r="FO91" s="178"/>
      <c r="FP91" s="178"/>
      <c r="FQ91" s="178"/>
      <c r="FR91" s="178"/>
      <c r="FS91" s="178"/>
      <c r="FT91" s="178"/>
      <c r="FU91" s="178"/>
      <c r="FV91" s="178"/>
      <c r="FW91" s="178"/>
      <c r="FX91" s="178"/>
      <c r="FY91" s="178"/>
      <c r="FZ91" s="178"/>
      <c r="GA91" s="178"/>
      <c r="GB91" s="178"/>
      <c r="GC91" s="178"/>
      <c r="GD91" s="178"/>
      <c r="GE91" s="178"/>
      <c r="GF91" s="178"/>
      <c r="GG91" s="178"/>
      <c r="GH91" s="178"/>
      <c r="GI91" s="178"/>
      <c r="GJ91" s="178"/>
      <c r="GK91" s="178"/>
      <c r="GL91" s="178"/>
      <c r="GM91" s="178"/>
      <c r="GN91" s="178"/>
      <c r="GO91" s="178"/>
      <c r="GP91" s="178"/>
      <c r="GQ91" s="178"/>
      <c r="GR91" s="178"/>
      <c r="GS91" s="178"/>
      <c r="GT91" s="178"/>
      <c r="GU91" s="178"/>
      <c r="GV91" s="178"/>
      <c r="GW91" s="178"/>
      <c r="GX91" s="178"/>
      <c r="GY91" s="178"/>
      <c r="GZ91" s="178"/>
      <c r="HA91" s="178"/>
      <c r="HB91" s="178"/>
      <c r="HC91" s="178"/>
      <c r="HD91" s="178"/>
      <c r="HE91" s="178"/>
      <c r="HF91" s="178"/>
      <c r="HG91" s="178"/>
      <c r="HH91" s="178"/>
      <c r="HI91" s="178"/>
      <c r="HJ91" s="178"/>
      <c r="HK91" s="178"/>
      <c r="HL91" s="178"/>
      <c r="HM91" s="178"/>
      <c r="HN91" s="178"/>
      <c r="HO91" s="178"/>
      <c r="HP91" s="178"/>
      <c r="HQ91" s="178"/>
      <c r="HR91" s="178"/>
      <c r="HS91" s="178"/>
      <c r="HT91" s="178"/>
      <c r="HU91" s="178"/>
      <c r="HV91" s="178"/>
      <c r="HW91" s="178"/>
      <c r="HX91" s="178"/>
      <c r="HY91" s="178"/>
      <c r="HZ91" s="178"/>
      <c r="IA91" s="178"/>
      <c r="IB91" s="178"/>
      <c r="IC91" s="178"/>
      <c r="ID91" s="178"/>
      <c r="IE91" s="178"/>
      <c r="IF91" s="178"/>
      <c r="IG91" s="178"/>
      <c r="IH91" s="178"/>
      <c r="II91" s="178"/>
      <c r="IJ91" s="178"/>
      <c r="IK91" s="178"/>
      <c r="IL91" s="178"/>
      <c r="IM91" s="178"/>
      <c r="IN91" s="178"/>
      <c r="IO91" s="178"/>
      <c r="IP91" s="178"/>
      <c r="IQ91" s="178"/>
      <c r="IR91" s="178"/>
      <c r="IS91" s="178"/>
      <c r="IT91" s="178"/>
    </row>
    <row r="92" spans="1:254" s="161" customFormat="1">
      <c r="A92" s="178"/>
      <c r="E92" s="159"/>
      <c r="H92" s="121"/>
      <c r="I92" s="121"/>
      <c r="K92" s="175"/>
      <c r="L92" s="159"/>
      <c r="S92" s="159"/>
      <c r="T92" s="159"/>
      <c r="U92" s="159"/>
      <c r="V92" s="159"/>
      <c r="W92" s="159"/>
      <c r="X92" s="159"/>
      <c r="Y92" s="159"/>
      <c r="Z92" s="159"/>
      <c r="AA92" s="159"/>
      <c r="AB92" s="159"/>
      <c r="AC92" s="159"/>
      <c r="AD92" s="159"/>
      <c r="AE92" s="159"/>
      <c r="AF92" s="159"/>
      <c r="AG92" s="175"/>
      <c r="AH92" s="175"/>
      <c r="EB92" s="174"/>
      <c r="FH92" s="178"/>
      <c r="FI92" s="178"/>
      <c r="FJ92" s="178"/>
      <c r="FK92" s="178"/>
      <c r="FL92" s="178"/>
      <c r="FM92" s="178"/>
      <c r="FN92" s="178"/>
      <c r="FO92" s="178"/>
      <c r="FP92" s="178"/>
      <c r="FQ92" s="178"/>
      <c r="FR92" s="178"/>
      <c r="FS92" s="178"/>
      <c r="FT92" s="178"/>
      <c r="FU92" s="178"/>
      <c r="FV92" s="178"/>
      <c r="FW92" s="178"/>
      <c r="FX92" s="178"/>
      <c r="FY92" s="178"/>
      <c r="FZ92" s="178"/>
      <c r="GA92" s="178"/>
      <c r="GB92" s="178"/>
      <c r="GC92" s="178"/>
      <c r="GD92" s="178"/>
      <c r="GE92" s="178"/>
      <c r="GF92" s="178"/>
      <c r="GG92" s="178"/>
      <c r="GH92" s="178"/>
      <c r="GI92" s="178"/>
      <c r="GJ92" s="178"/>
      <c r="GK92" s="178"/>
      <c r="GL92" s="178"/>
      <c r="GM92" s="178"/>
      <c r="GN92" s="178"/>
      <c r="GO92" s="178"/>
      <c r="GP92" s="178"/>
      <c r="GQ92" s="178"/>
      <c r="GR92" s="178"/>
      <c r="GS92" s="178"/>
      <c r="GT92" s="178"/>
      <c r="GU92" s="178"/>
      <c r="GV92" s="178"/>
      <c r="GW92" s="178"/>
      <c r="GX92" s="178"/>
      <c r="GY92" s="178"/>
      <c r="GZ92" s="178"/>
      <c r="HA92" s="178"/>
      <c r="HB92" s="178"/>
      <c r="HC92" s="178"/>
      <c r="HD92" s="178"/>
      <c r="HE92" s="178"/>
      <c r="HF92" s="178"/>
      <c r="HG92" s="178"/>
      <c r="HH92" s="178"/>
      <c r="HI92" s="178"/>
      <c r="HJ92" s="178"/>
      <c r="HK92" s="178"/>
      <c r="HL92" s="178"/>
      <c r="HM92" s="178"/>
      <c r="HN92" s="178"/>
      <c r="HO92" s="178"/>
      <c r="HP92" s="178"/>
      <c r="HQ92" s="178"/>
      <c r="HR92" s="178"/>
      <c r="HS92" s="178"/>
      <c r="HT92" s="178"/>
      <c r="HU92" s="178"/>
      <c r="HV92" s="178"/>
      <c r="HW92" s="178"/>
      <c r="HX92" s="178"/>
      <c r="HY92" s="178"/>
      <c r="HZ92" s="178"/>
      <c r="IA92" s="178"/>
      <c r="IB92" s="178"/>
      <c r="IC92" s="178"/>
      <c r="ID92" s="178"/>
      <c r="IE92" s="178"/>
      <c r="IF92" s="178"/>
      <c r="IG92" s="178"/>
      <c r="IH92" s="178"/>
      <c r="II92" s="178"/>
      <c r="IJ92" s="178"/>
      <c r="IK92" s="178"/>
      <c r="IL92" s="178"/>
      <c r="IM92" s="178"/>
      <c r="IN92" s="178"/>
      <c r="IO92" s="178"/>
      <c r="IP92" s="178"/>
      <c r="IQ92" s="178"/>
      <c r="IR92" s="178"/>
      <c r="IS92" s="178"/>
      <c r="IT92" s="178"/>
    </row>
    <row r="93" spans="1:254" s="161" customFormat="1">
      <c r="A93" s="178"/>
      <c r="E93" s="159"/>
      <c r="H93" s="121"/>
      <c r="I93" s="121"/>
      <c r="K93" s="175"/>
      <c r="L93" s="159"/>
      <c r="S93" s="159"/>
      <c r="T93" s="159"/>
      <c r="U93" s="159"/>
      <c r="V93" s="159"/>
      <c r="W93" s="159"/>
      <c r="X93" s="159"/>
      <c r="Y93" s="159"/>
      <c r="Z93" s="159"/>
      <c r="AA93" s="159"/>
      <c r="AB93" s="159"/>
      <c r="AC93" s="159"/>
      <c r="AD93" s="159"/>
      <c r="AE93" s="159"/>
      <c r="AF93" s="159"/>
      <c r="AG93" s="175"/>
      <c r="AH93" s="175"/>
      <c r="EB93" s="174"/>
      <c r="FH93" s="178"/>
      <c r="FI93" s="178"/>
      <c r="FJ93" s="178"/>
      <c r="FK93" s="178"/>
      <c r="FL93" s="178"/>
      <c r="FM93" s="178"/>
      <c r="FN93" s="178"/>
      <c r="FO93" s="178"/>
      <c r="FP93" s="178"/>
      <c r="FQ93" s="178"/>
      <c r="FR93" s="178"/>
      <c r="FS93" s="178"/>
      <c r="FT93" s="178"/>
      <c r="FU93" s="178"/>
      <c r="FV93" s="178"/>
      <c r="FW93" s="178"/>
      <c r="FX93" s="178"/>
      <c r="FY93" s="178"/>
      <c r="FZ93" s="178"/>
      <c r="GA93" s="178"/>
      <c r="GB93" s="178"/>
      <c r="GC93" s="178"/>
      <c r="GD93" s="178"/>
      <c r="GE93" s="178"/>
      <c r="GF93" s="178"/>
      <c r="GG93" s="178"/>
      <c r="GH93" s="178"/>
      <c r="GI93" s="178"/>
      <c r="GJ93" s="178"/>
      <c r="GK93" s="178"/>
      <c r="GL93" s="178"/>
      <c r="GM93" s="178"/>
      <c r="GN93" s="178"/>
      <c r="GO93" s="178"/>
      <c r="GP93" s="178"/>
      <c r="GQ93" s="178"/>
      <c r="GR93" s="178"/>
      <c r="GS93" s="178"/>
      <c r="GT93" s="178"/>
      <c r="GU93" s="178"/>
      <c r="GV93" s="178"/>
      <c r="GW93" s="178"/>
      <c r="GX93" s="178"/>
      <c r="GY93" s="178"/>
      <c r="GZ93" s="178"/>
      <c r="HA93" s="178"/>
      <c r="HB93" s="178"/>
      <c r="HC93" s="178"/>
      <c r="HD93" s="178"/>
      <c r="HE93" s="178"/>
      <c r="HF93" s="178"/>
      <c r="HG93" s="178"/>
      <c r="HH93" s="178"/>
      <c r="HI93" s="178"/>
      <c r="HJ93" s="178"/>
      <c r="HK93" s="178"/>
      <c r="HL93" s="178"/>
      <c r="HM93" s="178"/>
      <c r="HN93" s="178"/>
      <c r="HO93" s="178"/>
      <c r="HP93" s="178"/>
      <c r="HQ93" s="178"/>
      <c r="HR93" s="178"/>
      <c r="HS93" s="178"/>
      <c r="HT93" s="178"/>
      <c r="HU93" s="178"/>
      <c r="HV93" s="178"/>
      <c r="HW93" s="178"/>
      <c r="HX93" s="178"/>
      <c r="HY93" s="178"/>
      <c r="HZ93" s="178"/>
      <c r="IA93" s="178"/>
      <c r="IB93" s="178"/>
      <c r="IC93" s="178"/>
      <c r="ID93" s="178"/>
      <c r="IE93" s="178"/>
      <c r="IF93" s="178"/>
      <c r="IG93" s="178"/>
      <c r="IH93" s="178"/>
      <c r="II93" s="178"/>
      <c r="IJ93" s="178"/>
      <c r="IK93" s="178"/>
      <c r="IL93" s="178"/>
      <c r="IM93" s="178"/>
      <c r="IN93" s="178"/>
      <c r="IO93" s="178"/>
      <c r="IP93" s="178"/>
      <c r="IQ93" s="178"/>
      <c r="IR93" s="178"/>
      <c r="IS93" s="178"/>
      <c r="IT93" s="178"/>
    </row>
    <row r="94" spans="1:254" s="161" customFormat="1">
      <c r="A94" s="178"/>
      <c r="E94" s="159"/>
      <c r="H94" s="121"/>
      <c r="I94" s="121"/>
      <c r="K94" s="175"/>
      <c r="L94" s="159"/>
      <c r="S94" s="159"/>
      <c r="T94" s="159"/>
      <c r="U94" s="159"/>
      <c r="V94" s="159"/>
      <c r="W94" s="159"/>
      <c r="X94" s="159"/>
      <c r="Y94" s="159"/>
      <c r="Z94" s="159"/>
      <c r="AA94" s="159"/>
      <c r="AB94" s="159"/>
      <c r="AC94" s="159"/>
      <c r="AD94" s="159"/>
      <c r="AE94" s="159"/>
      <c r="AF94" s="159"/>
      <c r="AG94" s="175"/>
      <c r="AH94" s="175"/>
      <c r="EB94" s="174"/>
      <c r="FH94" s="178"/>
      <c r="FI94" s="178"/>
      <c r="FJ94" s="178"/>
      <c r="FK94" s="178"/>
      <c r="FL94" s="178"/>
      <c r="FM94" s="178"/>
      <c r="FN94" s="178"/>
      <c r="FO94" s="178"/>
      <c r="FP94" s="178"/>
      <c r="FQ94" s="178"/>
      <c r="FR94" s="178"/>
      <c r="FS94" s="178"/>
      <c r="FT94" s="178"/>
      <c r="FU94" s="178"/>
      <c r="FV94" s="178"/>
      <c r="FW94" s="178"/>
      <c r="FX94" s="178"/>
      <c r="FY94" s="178"/>
      <c r="FZ94" s="178"/>
      <c r="GA94" s="178"/>
      <c r="GB94" s="178"/>
      <c r="GC94" s="178"/>
      <c r="GD94" s="178"/>
      <c r="GE94" s="178"/>
      <c r="GF94" s="178"/>
      <c r="GG94" s="178"/>
      <c r="GH94" s="178"/>
      <c r="GI94" s="178"/>
      <c r="GJ94" s="178"/>
      <c r="GK94" s="178"/>
      <c r="GL94" s="178"/>
      <c r="GM94" s="178"/>
      <c r="GN94" s="178"/>
      <c r="GO94" s="178"/>
      <c r="GP94" s="178"/>
      <c r="GQ94" s="178"/>
      <c r="GR94" s="178"/>
      <c r="GS94" s="178"/>
      <c r="GT94" s="178"/>
      <c r="GU94" s="178"/>
      <c r="GV94" s="178"/>
      <c r="GW94" s="178"/>
      <c r="GX94" s="178"/>
      <c r="GY94" s="178"/>
      <c r="GZ94" s="178"/>
      <c r="HA94" s="178"/>
      <c r="HB94" s="178"/>
      <c r="HC94" s="178"/>
      <c r="HD94" s="178"/>
      <c r="HE94" s="178"/>
      <c r="HF94" s="178"/>
      <c r="HG94" s="178"/>
      <c r="HH94" s="178"/>
      <c r="HI94" s="178"/>
      <c r="HJ94" s="178"/>
      <c r="HK94" s="178"/>
      <c r="HL94" s="178"/>
      <c r="HM94" s="178"/>
      <c r="HN94" s="178"/>
      <c r="HO94" s="178"/>
      <c r="HP94" s="178"/>
      <c r="HQ94" s="178"/>
      <c r="HR94" s="178"/>
      <c r="HS94" s="178"/>
      <c r="HT94" s="178"/>
      <c r="HU94" s="178"/>
      <c r="HV94" s="178"/>
      <c r="HW94" s="178"/>
      <c r="HX94" s="178"/>
      <c r="HY94" s="178"/>
      <c r="HZ94" s="178"/>
      <c r="IA94" s="178"/>
      <c r="IB94" s="178"/>
      <c r="IC94" s="178"/>
      <c r="ID94" s="178"/>
      <c r="IE94" s="178"/>
      <c r="IF94" s="178"/>
      <c r="IG94" s="178"/>
      <c r="IH94" s="178"/>
      <c r="II94" s="178"/>
      <c r="IJ94" s="178"/>
      <c r="IK94" s="178"/>
      <c r="IL94" s="178"/>
      <c r="IM94" s="178"/>
      <c r="IN94" s="178"/>
      <c r="IO94" s="178"/>
      <c r="IP94" s="178"/>
      <c r="IQ94" s="178"/>
      <c r="IR94" s="178"/>
      <c r="IS94" s="178"/>
      <c r="IT94" s="178"/>
    </row>
    <row r="95" spans="1:254" s="161" customFormat="1">
      <c r="A95" s="178"/>
      <c r="E95" s="159"/>
      <c r="H95" s="121"/>
      <c r="I95" s="121"/>
      <c r="K95" s="175"/>
      <c r="L95" s="159"/>
      <c r="S95" s="159"/>
      <c r="T95" s="159"/>
      <c r="U95" s="159"/>
      <c r="V95" s="159"/>
      <c r="W95" s="159"/>
      <c r="X95" s="159"/>
      <c r="Y95" s="159"/>
      <c r="Z95" s="159"/>
      <c r="AA95" s="159"/>
      <c r="AB95" s="159"/>
      <c r="AC95" s="159"/>
      <c r="AD95" s="159"/>
      <c r="AE95" s="159"/>
      <c r="AF95" s="159"/>
      <c r="AG95" s="175"/>
      <c r="AH95" s="175"/>
      <c r="EB95" s="174"/>
      <c r="FH95" s="178"/>
      <c r="FI95" s="178"/>
      <c r="FJ95" s="178"/>
      <c r="FK95" s="178"/>
      <c r="FL95" s="178"/>
      <c r="FM95" s="178"/>
      <c r="FN95" s="178"/>
      <c r="FO95" s="178"/>
      <c r="FP95" s="178"/>
      <c r="FQ95" s="178"/>
      <c r="FR95" s="178"/>
      <c r="FS95" s="178"/>
      <c r="FT95" s="178"/>
      <c r="FU95" s="178"/>
      <c r="FV95" s="178"/>
      <c r="FW95" s="178"/>
      <c r="FX95" s="178"/>
      <c r="FY95" s="178"/>
      <c r="FZ95" s="178"/>
      <c r="GA95" s="178"/>
      <c r="GB95" s="178"/>
      <c r="GC95" s="178"/>
      <c r="GD95" s="178"/>
      <c r="GE95" s="178"/>
      <c r="GF95" s="178"/>
      <c r="GG95" s="178"/>
      <c r="GH95" s="178"/>
      <c r="GI95" s="178"/>
      <c r="GJ95" s="178"/>
      <c r="GK95" s="178"/>
      <c r="GL95" s="178"/>
      <c r="GM95" s="178"/>
      <c r="GN95" s="178"/>
      <c r="GO95" s="178"/>
      <c r="GP95" s="178"/>
      <c r="GQ95" s="178"/>
      <c r="GR95" s="178"/>
      <c r="GS95" s="178"/>
      <c r="GT95" s="178"/>
      <c r="GU95" s="178"/>
      <c r="GV95" s="178"/>
      <c r="GW95" s="178"/>
      <c r="GX95" s="178"/>
      <c r="GY95" s="178"/>
      <c r="GZ95" s="178"/>
      <c r="HA95" s="178"/>
      <c r="HB95" s="178"/>
      <c r="HC95" s="178"/>
      <c r="HD95" s="178"/>
      <c r="HE95" s="178"/>
      <c r="HF95" s="178"/>
      <c r="HG95" s="178"/>
      <c r="HH95" s="178"/>
      <c r="HI95" s="178"/>
      <c r="HJ95" s="178"/>
      <c r="HK95" s="178"/>
      <c r="HL95" s="178"/>
      <c r="HM95" s="178"/>
      <c r="HN95" s="178"/>
      <c r="HO95" s="178"/>
      <c r="HP95" s="178"/>
      <c r="HQ95" s="178"/>
      <c r="HR95" s="178"/>
      <c r="HS95" s="178"/>
      <c r="HT95" s="178"/>
      <c r="HU95" s="178"/>
      <c r="HV95" s="178"/>
      <c r="HW95" s="178"/>
      <c r="HX95" s="178"/>
      <c r="HY95" s="178"/>
      <c r="HZ95" s="178"/>
      <c r="IA95" s="178"/>
      <c r="IB95" s="178"/>
      <c r="IC95" s="178"/>
      <c r="ID95" s="178"/>
      <c r="IE95" s="178"/>
      <c r="IF95" s="178"/>
      <c r="IG95" s="178"/>
      <c r="IH95" s="178"/>
      <c r="II95" s="178"/>
      <c r="IJ95" s="178"/>
      <c r="IK95" s="178"/>
      <c r="IL95" s="178"/>
      <c r="IM95" s="178"/>
      <c r="IN95" s="178"/>
      <c r="IO95" s="178"/>
      <c r="IP95" s="178"/>
      <c r="IQ95" s="178"/>
      <c r="IR95" s="178"/>
      <c r="IS95" s="178"/>
      <c r="IT95" s="178"/>
    </row>
    <row r="96" spans="1:254" s="161" customFormat="1">
      <c r="A96" s="178"/>
      <c r="E96" s="159"/>
      <c r="H96" s="121"/>
      <c r="I96" s="121"/>
      <c r="K96" s="175"/>
      <c r="L96" s="159"/>
      <c r="S96" s="159"/>
      <c r="T96" s="159"/>
      <c r="U96" s="159"/>
      <c r="V96" s="159"/>
      <c r="W96" s="159"/>
      <c r="X96" s="159"/>
      <c r="Y96" s="159"/>
      <c r="Z96" s="159"/>
      <c r="AA96" s="159"/>
      <c r="AB96" s="159"/>
      <c r="AC96" s="159"/>
      <c r="AD96" s="159"/>
      <c r="AE96" s="159"/>
      <c r="AF96" s="159"/>
      <c r="AG96" s="175"/>
      <c r="AH96" s="175"/>
      <c r="EB96" s="174"/>
      <c r="FH96" s="178"/>
      <c r="FI96" s="178"/>
      <c r="FJ96" s="178"/>
      <c r="FK96" s="178"/>
      <c r="FL96" s="178"/>
      <c r="FM96" s="178"/>
      <c r="FN96" s="178"/>
      <c r="FO96" s="178"/>
      <c r="FP96" s="178"/>
      <c r="FQ96" s="178"/>
      <c r="FR96" s="178"/>
      <c r="FS96" s="178"/>
      <c r="FT96" s="178"/>
      <c r="FU96" s="178"/>
      <c r="FV96" s="178"/>
      <c r="FW96" s="178"/>
      <c r="FX96" s="178"/>
      <c r="FY96" s="178"/>
      <c r="FZ96" s="178"/>
      <c r="GA96" s="178"/>
      <c r="GB96" s="178"/>
      <c r="GC96" s="178"/>
      <c r="GD96" s="178"/>
      <c r="GE96" s="178"/>
      <c r="GF96" s="178"/>
      <c r="GG96" s="178"/>
      <c r="GH96" s="178"/>
      <c r="GI96" s="178"/>
      <c r="GJ96" s="178"/>
      <c r="GK96" s="178"/>
      <c r="GL96" s="178"/>
      <c r="GM96" s="178"/>
      <c r="GN96" s="178"/>
      <c r="GO96" s="178"/>
      <c r="GP96" s="178"/>
      <c r="GQ96" s="178"/>
      <c r="GR96" s="178"/>
      <c r="GS96" s="178"/>
      <c r="GT96" s="178"/>
      <c r="GU96" s="178"/>
      <c r="GV96" s="178"/>
      <c r="GW96" s="178"/>
      <c r="GX96" s="178"/>
      <c r="GY96" s="178"/>
      <c r="GZ96" s="178"/>
      <c r="HA96" s="178"/>
      <c r="HB96" s="178"/>
      <c r="HC96" s="178"/>
      <c r="HD96" s="178"/>
      <c r="HE96" s="178"/>
      <c r="HF96" s="178"/>
      <c r="HG96" s="178"/>
      <c r="HH96" s="178"/>
      <c r="HI96" s="178"/>
      <c r="HJ96" s="178"/>
      <c r="HK96" s="178"/>
      <c r="HL96" s="178"/>
      <c r="HM96" s="178"/>
      <c r="HN96" s="178"/>
      <c r="HO96" s="178"/>
      <c r="HP96" s="178"/>
      <c r="HQ96" s="178"/>
      <c r="HR96" s="178"/>
      <c r="HS96" s="178"/>
      <c r="HT96" s="178"/>
      <c r="HU96" s="178"/>
      <c r="HV96" s="178"/>
      <c r="HW96" s="178"/>
      <c r="HX96" s="178"/>
      <c r="HY96" s="178"/>
      <c r="HZ96" s="178"/>
      <c r="IA96" s="178"/>
      <c r="IB96" s="178"/>
      <c r="IC96" s="178"/>
      <c r="ID96" s="178"/>
      <c r="IE96" s="178"/>
      <c r="IF96" s="178"/>
      <c r="IG96" s="178"/>
      <c r="IH96" s="178"/>
      <c r="II96" s="178"/>
      <c r="IJ96" s="178"/>
      <c r="IK96" s="178"/>
      <c r="IL96" s="178"/>
      <c r="IM96" s="178"/>
      <c r="IN96" s="178"/>
      <c r="IO96" s="178"/>
      <c r="IP96" s="178"/>
      <c r="IQ96" s="178"/>
      <c r="IR96" s="178"/>
      <c r="IS96" s="178"/>
      <c r="IT96" s="178"/>
    </row>
    <row r="97" spans="1:254" s="161" customFormat="1">
      <c r="A97" s="178"/>
      <c r="E97" s="159"/>
      <c r="H97" s="121"/>
      <c r="I97" s="121"/>
      <c r="K97" s="175"/>
      <c r="L97" s="159"/>
      <c r="S97" s="159"/>
      <c r="T97" s="159"/>
      <c r="U97" s="159"/>
      <c r="V97" s="159"/>
      <c r="W97" s="159"/>
      <c r="X97" s="159"/>
      <c r="Y97" s="159"/>
      <c r="Z97" s="159"/>
      <c r="AA97" s="159"/>
      <c r="AB97" s="159"/>
      <c r="AC97" s="159"/>
      <c r="AD97" s="159"/>
      <c r="AE97" s="159"/>
      <c r="AF97" s="159"/>
      <c r="AG97" s="175"/>
      <c r="AH97" s="175"/>
      <c r="EB97" s="174"/>
      <c r="FH97" s="178"/>
      <c r="FI97" s="178"/>
      <c r="FJ97" s="178"/>
      <c r="FK97" s="178"/>
      <c r="FL97" s="178"/>
      <c r="FM97" s="178"/>
      <c r="FN97" s="178"/>
      <c r="FO97" s="178"/>
      <c r="FP97" s="178"/>
      <c r="FQ97" s="178"/>
      <c r="FR97" s="178"/>
      <c r="FS97" s="178"/>
      <c r="FT97" s="178"/>
      <c r="FU97" s="178"/>
      <c r="FV97" s="178"/>
      <c r="FW97" s="178"/>
      <c r="FX97" s="178"/>
      <c r="FY97" s="178"/>
      <c r="FZ97" s="178"/>
      <c r="GA97" s="178"/>
      <c r="GB97" s="178"/>
      <c r="GC97" s="178"/>
      <c r="GD97" s="178"/>
      <c r="GE97" s="178"/>
      <c r="GF97" s="178"/>
      <c r="GG97" s="178"/>
      <c r="GH97" s="178"/>
      <c r="GI97" s="178"/>
      <c r="GJ97" s="178"/>
      <c r="GK97" s="178"/>
      <c r="GL97" s="178"/>
      <c r="GM97" s="178"/>
      <c r="GN97" s="178"/>
      <c r="GO97" s="178"/>
      <c r="GP97" s="178"/>
      <c r="GQ97" s="178"/>
      <c r="GR97" s="178"/>
      <c r="GS97" s="178"/>
      <c r="GT97" s="178"/>
      <c r="GU97" s="178"/>
      <c r="GV97" s="178"/>
      <c r="GW97" s="178"/>
      <c r="GX97" s="178"/>
      <c r="GY97" s="178"/>
      <c r="GZ97" s="178"/>
      <c r="HA97" s="178"/>
      <c r="HB97" s="178"/>
      <c r="HC97" s="178"/>
      <c r="HD97" s="178"/>
      <c r="HE97" s="178"/>
      <c r="HF97" s="178"/>
      <c r="HG97" s="178"/>
      <c r="HH97" s="178"/>
      <c r="HI97" s="178"/>
      <c r="HJ97" s="178"/>
      <c r="HK97" s="178"/>
      <c r="HL97" s="178"/>
      <c r="HM97" s="178"/>
      <c r="HN97" s="178"/>
      <c r="HO97" s="178"/>
      <c r="HP97" s="178"/>
      <c r="HQ97" s="178"/>
      <c r="HR97" s="178"/>
      <c r="HS97" s="178"/>
      <c r="HT97" s="178"/>
      <c r="HU97" s="178"/>
      <c r="HV97" s="178"/>
      <c r="HW97" s="178"/>
      <c r="HX97" s="178"/>
      <c r="HY97" s="178"/>
      <c r="HZ97" s="178"/>
      <c r="IA97" s="178"/>
      <c r="IB97" s="178"/>
      <c r="IC97" s="178"/>
      <c r="ID97" s="178"/>
      <c r="IE97" s="178"/>
      <c r="IF97" s="178"/>
      <c r="IG97" s="178"/>
      <c r="IH97" s="178"/>
      <c r="II97" s="178"/>
      <c r="IJ97" s="178"/>
      <c r="IK97" s="178"/>
      <c r="IL97" s="178"/>
      <c r="IM97" s="178"/>
      <c r="IN97" s="178"/>
      <c r="IO97" s="178"/>
      <c r="IP97" s="178"/>
      <c r="IQ97" s="178"/>
      <c r="IR97" s="178"/>
      <c r="IS97" s="178"/>
      <c r="IT97" s="178"/>
    </row>
    <row r="98" spans="1:254" s="161" customFormat="1">
      <c r="A98" s="178"/>
      <c r="E98" s="159"/>
      <c r="H98" s="121"/>
      <c r="I98" s="121"/>
      <c r="K98" s="175"/>
      <c r="L98" s="159"/>
      <c r="S98" s="159"/>
      <c r="T98" s="159"/>
      <c r="U98" s="159"/>
      <c r="V98" s="159"/>
      <c r="W98" s="159"/>
      <c r="X98" s="159"/>
      <c r="Y98" s="159"/>
      <c r="Z98" s="159"/>
      <c r="AA98" s="159"/>
      <c r="AB98" s="159"/>
      <c r="AC98" s="159"/>
      <c r="AD98" s="159"/>
      <c r="AE98" s="159"/>
      <c r="AF98" s="159"/>
      <c r="AG98" s="175"/>
      <c r="AH98" s="175"/>
      <c r="EB98" s="174"/>
      <c r="FH98" s="178"/>
      <c r="FI98" s="178"/>
      <c r="FJ98" s="178"/>
      <c r="FK98" s="178"/>
      <c r="FL98" s="178"/>
      <c r="FM98" s="178"/>
      <c r="FN98" s="178"/>
      <c r="FO98" s="178"/>
      <c r="FP98" s="178"/>
      <c r="FQ98" s="178"/>
      <c r="FR98" s="178"/>
      <c r="FS98" s="178"/>
      <c r="FT98" s="178"/>
      <c r="FU98" s="178"/>
      <c r="FV98" s="178"/>
      <c r="FW98" s="178"/>
      <c r="FX98" s="178"/>
      <c r="FY98" s="178"/>
      <c r="FZ98" s="178"/>
      <c r="GA98" s="178"/>
      <c r="GB98" s="178"/>
      <c r="GC98" s="178"/>
      <c r="GD98" s="178"/>
      <c r="GE98" s="178"/>
      <c r="GF98" s="178"/>
      <c r="GG98" s="178"/>
      <c r="GH98" s="178"/>
      <c r="GI98" s="178"/>
      <c r="GJ98" s="178"/>
      <c r="GK98" s="178"/>
      <c r="GL98" s="178"/>
      <c r="GM98" s="178"/>
      <c r="GN98" s="178"/>
      <c r="GO98" s="178"/>
      <c r="GP98" s="178"/>
      <c r="GQ98" s="178"/>
      <c r="GR98" s="178"/>
      <c r="GS98" s="178"/>
      <c r="GT98" s="178"/>
      <c r="GU98" s="178"/>
      <c r="GV98" s="178"/>
      <c r="GW98" s="178"/>
      <c r="GX98" s="178"/>
      <c r="GY98" s="178"/>
      <c r="GZ98" s="178"/>
      <c r="HA98" s="178"/>
      <c r="HB98" s="178"/>
      <c r="HC98" s="178"/>
      <c r="HD98" s="178"/>
      <c r="HE98" s="178"/>
      <c r="HF98" s="178"/>
      <c r="HG98" s="178"/>
      <c r="HH98" s="178"/>
      <c r="HI98" s="178"/>
      <c r="HJ98" s="178"/>
      <c r="HK98" s="178"/>
      <c r="HL98" s="178"/>
      <c r="HM98" s="178"/>
      <c r="HN98" s="178"/>
      <c r="HO98" s="178"/>
      <c r="HP98" s="178"/>
      <c r="HQ98" s="178"/>
      <c r="HR98" s="178"/>
      <c r="HS98" s="178"/>
      <c r="HT98" s="178"/>
      <c r="HU98" s="178"/>
      <c r="HV98" s="178"/>
      <c r="HW98" s="178"/>
      <c r="HX98" s="178"/>
      <c r="HY98" s="178"/>
      <c r="HZ98" s="178"/>
      <c r="IA98" s="178"/>
      <c r="IB98" s="178"/>
      <c r="IC98" s="178"/>
      <c r="ID98" s="178"/>
      <c r="IE98" s="178"/>
      <c r="IF98" s="178"/>
      <c r="IG98" s="178"/>
      <c r="IH98" s="178"/>
      <c r="II98" s="178"/>
      <c r="IJ98" s="178"/>
      <c r="IK98" s="178"/>
      <c r="IL98" s="178"/>
      <c r="IM98" s="178"/>
      <c r="IN98" s="178"/>
      <c r="IO98" s="178"/>
      <c r="IP98" s="178"/>
      <c r="IQ98" s="178"/>
      <c r="IR98" s="178"/>
      <c r="IS98" s="178"/>
      <c r="IT98" s="178"/>
    </row>
    <row r="99" spans="1:254" s="161" customFormat="1">
      <c r="A99" s="178"/>
      <c r="E99" s="159"/>
      <c r="H99" s="121"/>
      <c r="I99" s="121"/>
      <c r="K99" s="175"/>
      <c r="L99" s="159"/>
      <c r="S99" s="159"/>
      <c r="T99" s="159"/>
      <c r="U99" s="159"/>
      <c r="V99" s="159"/>
      <c r="W99" s="159"/>
      <c r="X99" s="159"/>
      <c r="Y99" s="159"/>
      <c r="Z99" s="159"/>
      <c r="AA99" s="159"/>
      <c r="AB99" s="159"/>
      <c r="AC99" s="159"/>
      <c r="AD99" s="159"/>
      <c r="AE99" s="159"/>
      <c r="AF99" s="159"/>
      <c r="AG99" s="175"/>
      <c r="AH99" s="175"/>
      <c r="EB99" s="174"/>
      <c r="FH99" s="178"/>
      <c r="FI99" s="178"/>
      <c r="FJ99" s="178"/>
      <c r="FK99" s="178"/>
      <c r="FL99" s="178"/>
      <c r="FM99" s="178"/>
      <c r="FN99" s="178"/>
      <c r="FO99" s="178"/>
      <c r="FP99" s="178"/>
      <c r="FQ99" s="178"/>
      <c r="FR99" s="178"/>
      <c r="FS99" s="178"/>
      <c r="FT99" s="178"/>
      <c r="FU99" s="178"/>
      <c r="FV99" s="178"/>
      <c r="FW99" s="178"/>
      <c r="FX99" s="178"/>
      <c r="FY99" s="178"/>
      <c r="FZ99" s="178"/>
      <c r="GA99" s="178"/>
      <c r="GB99" s="178"/>
      <c r="GC99" s="178"/>
      <c r="GD99" s="178"/>
      <c r="GE99" s="178"/>
      <c r="GF99" s="178"/>
      <c r="GG99" s="178"/>
      <c r="GH99" s="178"/>
      <c r="GI99" s="178"/>
      <c r="GJ99" s="178"/>
      <c r="GK99" s="178"/>
      <c r="GL99" s="178"/>
      <c r="GM99" s="178"/>
      <c r="GN99" s="178"/>
      <c r="GO99" s="178"/>
      <c r="GP99" s="178"/>
      <c r="GQ99" s="178"/>
      <c r="GR99" s="178"/>
      <c r="GS99" s="178"/>
      <c r="GT99" s="178"/>
      <c r="GU99" s="178"/>
      <c r="GV99" s="178"/>
      <c r="GW99" s="178"/>
      <c r="GX99" s="178"/>
      <c r="GY99" s="178"/>
      <c r="GZ99" s="178"/>
      <c r="HA99" s="178"/>
      <c r="HB99" s="178"/>
      <c r="HC99" s="178"/>
      <c r="HD99" s="178"/>
      <c r="HE99" s="178"/>
      <c r="HF99" s="178"/>
      <c r="HG99" s="178"/>
      <c r="HH99" s="178"/>
      <c r="HI99" s="178"/>
      <c r="HJ99" s="178"/>
      <c r="HK99" s="178"/>
      <c r="HL99" s="178"/>
      <c r="HM99" s="178"/>
      <c r="HN99" s="178"/>
      <c r="HO99" s="178"/>
      <c r="HP99" s="178"/>
      <c r="HQ99" s="178"/>
      <c r="HR99" s="178"/>
      <c r="HS99" s="178"/>
      <c r="HT99" s="178"/>
      <c r="HU99" s="178"/>
      <c r="HV99" s="178"/>
      <c r="HW99" s="178"/>
      <c r="HX99" s="178"/>
      <c r="HY99" s="178"/>
      <c r="HZ99" s="178"/>
      <c r="IA99" s="178"/>
      <c r="IB99" s="178"/>
      <c r="IC99" s="178"/>
      <c r="ID99" s="178"/>
      <c r="IE99" s="178"/>
      <c r="IF99" s="178"/>
      <c r="IG99" s="178"/>
      <c r="IH99" s="178"/>
      <c r="II99" s="178"/>
      <c r="IJ99" s="178"/>
      <c r="IK99" s="178"/>
      <c r="IL99" s="178"/>
      <c r="IM99" s="178"/>
      <c r="IN99" s="178"/>
      <c r="IO99" s="178"/>
      <c r="IP99" s="178"/>
      <c r="IQ99" s="178"/>
      <c r="IR99" s="178"/>
      <c r="IS99" s="178"/>
      <c r="IT99" s="178"/>
    </row>
    <row r="100" spans="1:254" s="161" customFormat="1" hidden="1">
      <c r="A100" s="178"/>
      <c r="E100" s="159"/>
      <c r="F100" s="159" t="s">
        <v>141</v>
      </c>
      <c r="H100" s="121"/>
      <c r="I100" s="121"/>
      <c r="K100" s="175" t="s">
        <v>119</v>
      </c>
      <c r="L100" s="159"/>
      <c r="Q100" s="161" t="s">
        <v>119</v>
      </c>
      <c r="S100" s="159"/>
      <c r="T100" s="159"/>
      <c r="U100" s="159"/>
      <c r="V100" s="159"/>
      <c r="W100" s="159"/>
      <c r="X100" s="159"/>
      <c r="Y100" s="159"/>
      <c r="Z100" s="159"/>
      <c r="AA100" s="159"/>
      <c r="AB100" s="159"/>
      <c r="AC100" s="159"/>
      <c r="AD100" s="159"/>
      <c r="AE100" s="159"/>
      <c r="AF100" s="159"/>
      <c r="AG100" s="175" t="s">
        <v>142</v>
      </c>
      <c r="AH100" s="175"/>
      <c r="EB100" s="174"/>
      <c r="FH100" s="178"/>
      <c r="FI100" s="178"/>
      <c r="FJ100" s="178"/>
      <c r="FK100" s="178"/>
      <c r="FL100" s="178"/>
      <c r="FM100" s="178"/>
      <c r="FN100" s="178"/>
      <c r="FO100" s="178"/>
      <c r="FP100" s="178"/>
      <c r="FQ100" s="178"/>
      <c r="FR100" s="178"/>
      <c r="FS100" s="178"/>
      <c r="FT100" s="178"/>
      <c r="FU100" s="178"/>
      <c r="FV100" s="178"/>
      <c r="FW100" s="178"/>
      <c r="FX100" s="178"/>
      <c r="FY100" s="178"/>
      <c r="FZ100" s="178"/>
      <c r="GA100" s="178"/>
      <c r="GB100" s="178"/>
      <c r="GC100" s="178"/>
      <c r="GD100" s="178"/>
      <c r="GE100" s="178"/>
      <c r="GF100" s="178"/>
      <c r="GG100" s="178"/>
      <c r="GH100" s="178"/>
      <c r="GI100" s="178"/>
      <c r="GJ100" s="178"/>
      <c r="GK100" s="178"/>
      <c r="GL100" s="178"/>
      <c r="GM100" s="178"/>
      <c r="GN100" s="178"/>
      <c r="GO100" s="178"/>
      <c r="GP100" s="178"/>
      <c r="GQ100" s="178"/>
      <c r="GR100" s="178"/>
      <c r="GS100" s="178"/>
      <c r="GT100" s="178"/>
      <c r="GU100" s="178"/>
      <c r="GV100" s="178"/>
      <c r="GW100" s="178"/>
      <c r="GX100" s="178"/>
      <c r="GY100" s="178"/>
      <c r="GZ100" s="178"/>
      <c r="HA100" s="178"/>
      <c r="HB100" s="178"/>
      <c r="HC100" s="178"/>
      <c r="HD100" s="178"/>
      <c r="HE100" s="178"/>
      <c r="HF100" s="178"/>
      <c r="HG100" s="178"/>
      <c r="HH100" s="178"/>
      <c r="HI100" s="178"/>
      <c r="HJ100" s="178"/>
      <c r="HK100" s="178"/>
      <c r="HL100" s="178"/>
      <c r="HM100" s="178"/>
      <c r="HN100" s="178"/>
      <c r="HO100" s="178"/>
      <c r="HP100" s="178"/>
      <c r="HQ100" s="178"/>
      <c r="HR100" s="178"/>
      <c r="HS100" s="178"/>
      <c r="HT100" s="178"/>
      <c r="HU100" s="178"/>
      <c r="HV100" s="178"/>
      <c r="HW100" s="178"/>
      <c r="HX100" s="178"/>
      <c r="HY100" s="178"/>
      <c r="HZ100" s="178"/>
      <c r="IA100" s="178"/>
      <c r="IB100" s="178"/>
      <c r="IC100" s="178"/>
      <c r="ID100" s="178"/>
      <c r="IE100" s="178"/>
      <c r="IF100" s="178"/>
      <c r="IG100" s="178"/>
      <c r="IH100" s="178"/>
      <c r="II100" s="178"/>
      <c r="IJ100" s="178"/>
      <c r="IK100" s="178"/>
      <c r="IL100" s="178"/>
      <c r="IM100" s="178"/>
      <c r="IN100" s="178"/>
      <c r="IO100" s="178"/>
      <c r="IP100" s="178"/>
      <c r="IQ100" s="178"/>
      <c r="IR100" s="178"/>
      <c r="IS100" s="178"/>
      <c r="IT100" s="178"/>
    </row>
    <row r="101" spans="1:254" s="161" customFormat="1" hidden="1">
      <c r="A101" s="178"/>
      <c r="E101" s="159"/>
      <c r="F101" s="171">
        <f>Constants!U11</f>
        <v>0.5</v>
      </c>
      <c r="H101" s="121"/>
      <c r="I101" s="121"/>
      <c r="K101" s="175" t="s">
        <v>120</v>
      </c>
      <c r="L101" s="159"/>
      <c r="Q101" s="161" t="s">
        <v>120</v>
      </c>
      <c r="S101" s="159"/>
      <c r="T101" s="159"/>
      <c r="U101" s="159"/>
      <c r="V101" s="159"/>
      <c r="W101" s="159"/>
      <c r="X101" s="159"/>
      <c r="Y101" s="159"/>
      <c r="Z101" s="159"/>
      <c r="AA101" s="159"/>
      <c r="AB101" s="159"/>
      <c r="AC101" s="159"/>
      <c r="AD101" s="159"/>
      <c r="AE101" s="159"/>
      <c r="AF101" s="159"/>
      <c r="AG101" s="176">
        <v>0.5</v>
      </c>
      <c r="AH101" s="176"/>
      <c r="EB101" s="174"/>
      <c r="FH101" s="178"/>
      <c r="FI101" s="178"/>
      <c r="FJ101" s="178"/>
      <c r="FK101" s="178"/>
      <c r="FL101" s="178"/>
      <c r="FM101" s="178"/>
      <c r="FN101" s="178"/>
      <c r="FO101" s="178"/>
      <c r="FP101" s="178"/>
      <c r="FQ101" s="178"/>
      <c r="FR101" s="178"/>
      <c r="FS101" s="178"/>
      <c r="FT101" s="178"/>
      <c r="FU101" s="178"/>
      <c r="FV101" s="178"/>
      <c r="FW101" s="178"/>
      <c r="FX101" s="178"/>
      <c r="FY101" s="178"/>
      <c r="FZ101" s="178"/>
      <c r="GA101" s="178"/>
      <c r="GB101" s="178"/>
      <c r="GC101" s="178"/>
      <c r="GD101" s="178"/>
      <c r="GE101" s="178"/>
      <c r="GF101" s="178"/>
      <c r="GG101" s="178"/>
      <c r="GH101" s="178"/>
      <c r="GI101" s="178"/>
      <c r="GJ101" s="178"/>
      <c r="GK101" s="178"/>
      <c r="GL101" s="178"/>
      <c r="GM101" s="178"/>
      <c r="GN101" s="178"/>
      <c r="GO101" s="178"/>
      <c r="GP101" s="178"/>
      <c r="GQ101" s="178"/>
      <c r="GR101" s="178"/>
      <c r="GS101" s="178"/>
      <c r="GT101" s="178"/>
      <c r="GU101" s="178"/>
      <c r="GV101" s="178"/>
      <c r="GW101" s="178"/>
      <c r="GX101" s="178"/>
      <c r="GY101" s="178"/>
      <c r="GZ101" s="178"/>
      <c r="HA101" s="178"/>
      <c r="HB101" s="178"/>
      <c r="HC101" s="178"/>
      <c r="HD101" s="178"/>
      <c r="HE101" s="178"/>
      <c r="HF101" s="178"/>
      <c r="HG101" s="178"/>
      <c r="HH101" s="178"/>
      <c r="HI101" s="178"/>
      <c r="HJ101" s="178"/>
      <c r="HK101" s="178"/>
      <c r="HL101" s="178"/>
      <c r="HM101" s="178"/>
      <c r="HN101" s="178"/>
      <c r="HO101" s="178"/>
      <c r="HP101" s="178"/>
      <c r="HQ101" s="178"/>
      <c r="HR101" s="178"/>
      <c r="HS101" s="178"/>
      <c r="HT101" s="178"/>
      <c r="HU101" s="178"/>
      <c r="HV101" s="178"/>
      <c r="HW101" s="178"/>
      <c r="HX101" s="178"/>
      <c r="HY101" s="178"/>
      <c r="HZ101" s="178"/>
      <c r="IA101" s="178"/>
      <c r="IB101" s="178"/>
      <c r="IC101" s="178"/>
      <c r="ID101" s="178"/>
      <c r="IE101" s="178"/>
      <c r="IF101" s="178"/>
      <c r="IG101" s="178"/>
      <c r="IH101" s="178"/>
      <c r="II101" s="178"/>
      <c r="IJ101" s="178"/>
      <c r="IK101" s="178"/>
      <c r="IL101" s="178"/>
      <c r="IM101" s="178"/>
      <c r="IN101" s="178"/>
      <c r="IO101" s="178"/>
      <c r="IP101" s="178"/>
      <c r="IQ101" s="178"/>
      <c r="IR101" s="178"/>
      <c r="IS101" s="178"/>
      <c r="IT101" s="178"/>
    </row>
    <row r="102" spans="1:254" s="161" customFormat="1" hidden="1">
      <c r="A102" s="178"/>
      <c r="E102" s="159"/>
      <c r="F102" s="171">
        <f>Constants!U12</f>
        <v>0.75</v>
      </c>
      <c r="H102" s="121"/>
      <c r="I102" s="121"/>
      <c r="K102" s="175"/>
      <c r="L102" s="159"/>
      <c r="S102" s="159"/>
      <c r="T102" s="159"/>
      <c r="U102" s="159"/>
      <c r="V102" s="159"/>
      <c r="W102" s="159"/>
      <c r="X102" s="159"/>
      <c r="Y102" s="159"/>
      <c r="Z102" s="159"/>
      <c r="AA102" s="159"/>
      <c r="AB102" s="159"/>
      <c r="AC102" s="159"/>
      <c r="AD102" s="159"/>
      <c r="AE102" s="159"/>
      <c r="AF102" s="159"/>
      <c r="AG102" s="176">
        <v>1</v>
      </c>
      <c r="AH102" s="176"/>
      <c r="EB102" s="174"/>
      <c r="FH102" s="178"/>
      <c r="FI102" s="178"/>
      <c r="FJ102" s="178"/>
      <c r="FK102" s="178"/>
      <c r="FL102" s="178"/>
      <c r="FM102" s="178"/>
      <c r="FN102" s="178"/>
      <c r="FO102" s="178"/>
      <c r="FP102" s="178"/>
      <c r="FQ102" s="178"/>
      <c r="FR102" s="178"/>
      <c r="FS102" s="178"/>
      <c r="FT102" s="178"/>
      <c r="FU102" s="178"/>
      <c r="FV102" s="178"/>
      <c r="FW102" s="178"/>
      <c r="FX102" s="178"/>
      <c r="FY102" s="178"/>
      <c r="FZ102" s="178"/>
      <c r="GA102" s="178"/>
      <c r="GB102" s="178"/>
      <c r="GC102" s="178"/>
      <c r="GD102" s="178"/>
      <c r="GE102" s="178"/>
      <c r="GF102" s="178"/>
      <c r="GG102" s="178"/>
      <c r="GH102" s="178"/>
      <c r="GI102" s="178"/>
      <c r="GJ102" s="178"/>
      <c r="GK102" s="178"/>
      <c r="GL102" s="178"/>
      <c r="GM102" s="178"/>
      <c r="GN102" s="178"/>
      <c r="GO102" s="178"/>
      <c r="GP102" s="178"/>
      <c r="GQ102" s="178"/>
      <c r="GR102" s="178"/>
      <c r="GS102" s="178"/>
      <c r="GT102" s="178"/>
      <c r="GU102" s="178"/>
      <c r="GV102" s="178"/>
      <c r="GW102" s="178"/>
      <c r="GX102" s="178"/>
      <c r="GY102" s="178"/>
      <c r="GZ102" s="178"/>
      <c r="HA102" s="178"/>
      <c r="HB102" s="178"/>
      <c r="HC102" s="178"/>
      <c r="HD102" s="178"/>
      <c r="HE102" s="178"/>
      <c r="HF102" s="178"/>
      <c r="HG102" s="178"/>
      <c r="HH102" s="178"/>
      <c r="HI102" s="178"/>
      <c r="HJ102" s="178"/>
      <c r="HK102" s="178"/>
      <c r="HL102" s="178"/>
      <c r="HM102" s="178"/>
      <c r="HN102" s="178"/>
      <c r="HO102" s="178"/>
      <c r="HP102" s="178"/>
      <c r="HQ102" s="178"/>
      <c r="HR102" s="178"/>
      <c r="HS102" s="178"/>
      <c r="HT102" s="178"/>
      <c r="HU102" s="178"/>
      <c r="HV102" s="178"/>
      <c r="HW102" s="178"/>
      <c r="HX102" s="178"/>
      <c r="HY102" s="178"/>
      <c r="HZ102" s="178"/>
      <c r="IA102" s="178"/>
      <c r="IB102" s="178"/>
      <c r="IC102" s="178"/>
      <c r="ID102" s="178"/>
      <c r="IE102" s="178"/>
      <c r="IF102" s="178"/>
      <c r="IG102" s="178"/>
      <c r="IH102" s="178"/>
      <c r="II102" s="178"/>
      <c r="IJ102" s="178"/>
      <c r="IK102" s="178"/>
      <c r="IL102" s="178"/>
      <c r="IM102" s="178"/>
      <c r="IN102" s="178"/>
      <c r="IO102" s="178"/>
      <c r="IP102" s="178"/>
      <c r="IQ102" s="178"/>
      <c r="IR102" s="178"/>
      <c r="IS102" s="178"/>
      <c r="IT102" s="178"/>
    </row>
    <row r="103" spans="1:254" s="161" customFormat="1" hidden="1">
      <c r="A103" s="178"/>
      <c r="E103" s="159"/>
      <c r="F103" s="171">
        <f>Constants!U13</f>
        <v>1</v>
      </c>
      <c r="H103" s="121"/>
      <c r="I103" s="121"/>
      <c r="K103" s="175"/>
      <c r="L103" s="159"/>
      <c r="S103" s="159"/>
      <c r="T103" s="159"/>
      <c r="U103" s="159"/>
      <c r="V103" s="159"/>
      <c r="W103" s="159"/>
      <c r="X103" s="159"/>
      <c r="Y103" s="159"/>
      <c r="Z103" s="159"/>
      <c r="AA103" s="159"/>
      <c r="AB103" s="159"/>
      <c r="AC103" s="159"/>
      <c r="AD103" s="159"/>
      <c r="AE103" s="159"/>
      <c r="AF103" s="159"/>
      <c r="AG103" s="176">
        <v>1.5</v>
      </c>
      <c r="AH103" s="176"/>
      <c r="EB103" s="174"/>
      <c r="FH103" s="178"/>
      <c r="FI103" s="178"/>
      <c r="FJ103" s="178"/>
      <c r="FK103" s="178"/>
      <c r="FL103" s="178"/>
      <c r="FM103" s="178"/>
      <c r="FN103" s="178"/>
      <c r="FO103" s="178"/>
      <c r="FP103" s="178"/>
      <c r="FQ103" s="178"/>
      <c r="FR103" s="178"/>
      <c r="FS103" s="178"/>
      <c r="FT103" s="178"/>
      <c r="FU103" s="178"/>
      <c r="FV103" s="178"/>
      <c r="FW103" s="178"/>
      <c r="FX103" s="178"/>
      <c r="FY103" s="178"/>
      <c r="FZ103" s="178"/>
      <c r="GA103" s="178"/>
      <c r="GB103" s="178"/>
      <c r="GC103" s="178"/>
      <c r="GD103" s="178"/>
      <c r="GE103" s="178"/>
      <c r="GF103" s="178"/>
      <c r="GG103" s="178"/>
      <c r="GH103" s="178"/>
      <c r="GI103" s="178"/>
      <c r="GJ103" s="178"/>
      <c r="GK103" s="178"/>
      <c r="GL103" s="178"/>
      <c r="GM103" s="178"/>
      <c r="GN103" s="178"/>
      <c r="GO103" s="178"/>
      <c r="GP103" s="178"/>
      <c r="GQ103" s="178"/>
      <c r="GR103" s="178"/>
      <c r="GS103" s="178"/>
      <c r="GT103" s="178"/>
      <c r="GU103" s="178"/>
      <c r="GV103" s="178"/>
      <c r="GW103" s="178"/>
      <c r="GX103" s="178"/>
      <c r="GY103" s="178"/>
      <c r="GZ103" s="178"/>
      <c r="HA103" s="178"/>
      <c r="HB103" s="178"/>
      <c r="HC103" s="178"/>
      <c r="HD103" s="178"/>
      <c r="HE103" s="178"/>
      <c r="HF103" s="178"/>
      <c r="HG103" s="178"/>
      <c r="HH103" s="178"/>
      <c r="HI103" s="178"/>
      <c r="HJ103" s="178"/>
      <c r="HK103" s="178"/>
      <c r="HL103" s="178"/>
      <c r="HM103" s="178"/>
      <c r="HN103" s="178"/>
      <c r="HO103" s="178"/>
      <c r="HP103" s="178"/>
      <c r="HQ103" s="178"/>
      <c r="HR103" s="178"/>
      <c r="HS103" s="178"/>
      <c r="HT103" s="178"/>
      <c r="HU103" s="178"/>
      <c r="HV103" s="178"/>
      <c r="HW103" s="178"/>
      <c r="HX103" s="178"/>
      <c r="HY103" s="178"/>
      <c r="HZ103" s="178"/>
      <c r="IA103" s="178"/>
      <c r="IB103" s="178"/>
      <c r="IC103" s="178"/>
      <c r="ID103" s="178"/>
      <c r="IE103" s="178"/>
      <c r="IF103" s="178"/>
      <c r="IG103" s="178"/>
      <c r="IH103" s="178"/>
      <c r="II103" s="178"/>
      <c r="IJ103" s="178"/>
      <c r="IK103" s="178"/>
      <c r="IL103" s="178"/>
      <c r="IM103" s="178"/>
      <c r="IN103" s="178"/>
      <c r="IO103" s="178"/>
      <c r="IP103" s="178"/>
      <c r="IQ103" s="178"/>
      <c r="IR103" s="178"/>
      <c r="IS103" s="178"/>
      <c r="IT103" s="178"/>
    </row>
    <row r="104" spans="1:254" s="161" customFormat="1" hidden="1">
      <c r="A104" s="178"/>
      <c r="E104" s="159"/>
      <c r="F104" s="171">
        <f>Constants!U14</f>
        <v>1.25</v>
      </c>
      <c r="H104" s="121"/>
      <c r="I104" s="121"/>
      <c r="K104" s="175"/>
      <c r="L104" s="159"/>
      <c r="S104" s="159"/>
      <c r="T104" s="159"/>
      <c r="U104" s="159"/>
      <c r="V104" s="159"/>
      <c r="W104" s="159"/>
      <c r="X104" s="159"/>
      <c r="Y104" s="159"/>
      <c r="Z104" s="159"/>
      <c r="AA104" s="159"/>
      <c r="AB104" s="159"/>
      <c r="AC104" s="159"/>
      <c r="AD104" s="159"/>
      <c r="AE104" s="159"/>
      <c r="AF104" s="159"/>
      <c r="AG104" s="176">
        <v>2</v>
      </c>
      <c r="AH104" s="176"/>
      <c r="EB104" s="174"/>
      <c r="FH104" s="178"/>
      <c r="FI104" s="178"/>
      <c r="FJ104" s="178"/>
      <c r="FK104" s="178"/>
      <c r="FL104" s="178"/>
      <c r="FM104" s="178"/>
      <c r="FN104" s="178"/>
      <c r="FO104" s="178"/>
      <c r="FP104" s="178"/>
      <c r="FQ104" s="178"/>
      <c r="FR104" s="178"/>
      <c r="FS104" s="178"/>
      <c r="FT104" s="178"/>
      <c r="FU104" s="178"/>
      <c r="FV104" s="178"/>
      <c r="FW104" s="178"/>
      <c r="FX104" s="178"/>
      <c r="FY104" s="178"/>
      <c r="FZ104" s="178"/>
      <c r="GA104" s="178"/>
      <c r="GB104" s="178"/>
      <c r="GC104" s="178"/>
      <c r="GD104" s="178"/>
      <c r="GE104" s="178"/>
      <c r="GF104" s="178"/>
      <c r="GG104" s="178"/>
      <c r="GH104" s="178"/>
      <c r="GI104" s="178"/>
      <c r="GJ104" s="178"/>
      <c r="GK104" s="178"/>
      <c r="GL104" s="178"/>
      <c r="GM104" s="178"/>
      <c r="GN104" s="178"/>
      <c r="GO104" s="178"/>
      <c r="GP104" s="178"/>
      <c r="GQ104" s="178"/>
      <c r="GR104" s="178"/>
      <c r="GS104" s="178"/>
      <c r="GT104" s="178"/>
      <c r="GU104" s="178"/>
      <c r="GV104" s="178"/>
      <c r="GW104" s="178"/>
      <c r="GX104" s="178"/>
      <c r="GY104" s="178"/>
      <c r="GZ104" s="178"/>
      <c r="HA104" s="178"/>
      <c r="HB104" s="178"/>
      <c r="HC104" s="178"/>
      <c r="HD104" s="178"/>
      <c r="HE104" s="178"/>
      <c r="HF104" s="178"/>
      <c r="HG104" s="178"/>
      <c r="HH104" s="178"/>
      <c r="HI104" s="178"/>
      <c r="HJ104" s="178"/>
      <c r="HK104" s="178"/>
      <c r="HL104" s="178"/>
      <c r="HM104" s="178"/>
      <c r="HN104" s="178"/>
      <c r="HO104" s="178"/>
      <c r="HP104" s="178"/>
      <c r="HQ104" s="178"/>
      <c r="HR104" s="178"/>
      <c r="HS104" s="178"/>
      <c r="HT104" s="178"/>
      <c r="HU104" s="178"/>
      <c r="HV104" s="178"/>
      <c r="HW104" s="178"/>
      <c r="HX104" s="178"/>
      <c r="HY104" s="178"/>
      <c r="HZ104" s="178"/>
      <c r="IA104" s="178"/>
      <c r="IB104" s="178"/>
      <c r="IC104" s="178"/>
      <c r="ID104" s="178"/>
      <c r="IE104" s="178"/>
      <c r="IF104" s="178"/>
      <c r="IG104" s="178"/>
      <c r="IH104" s="178"/>
      <c r="II104" s="178"/>
      <c r="IJ104" s="178"/>
      <c r="IK104" s="178"/>
      <c r="IL104" s="178"/>
      <c r="IM104" s="178"/>
      <c r="IN104" s="178"/>
      <c r="IO104" s="178"/>
      <c r="IP104" s="178"/>
      <c r="IQ104" s="178"/>
      <c r="IR104" s="178"/>
      <c r="IS104" s="178"/>
      <c r="IT104" s="178"/>
    </row>
    <row r="105" spans="1:254" s="161" customFormat="1" hidden="1">
      <c r="A105" s="178"/>
      <c r="E105" s="159"/>
      <c r="F105" s="171">
        <f>Constants!U15</f>
        <v>1.5</v>
      </c>
      <c r="H105" s="121"/>
      <c r="I105" s="121"/>
      <c r="K105" s="175"/>
      <c r="L105" s="159"/>
      <c r="S105" s="159"/>
      <c r="T105" s="159"/>
      <c r="U105" s="159"/>
      <c r="V105" s="159"/>
      <c r="W105" s="159"/>
      <c r="X105" s="159"/>
      <c r="Y105" s="159"/>
      <c r="Z105" s="159"/>
      <c r="AA105" s="159"/>
      <c r="AB105" s="159"/>
      <c r="AC105" s="159"/>
      <c r="AD105" s="159"/>
      <c r="AE105" s="159"/>
      <c r="AF105" s="159"/>
      <c r="AG105" s="175" t="s">
        <v>127</v>
      </c>
      <c r="AH105" s="175"/>
      <c r="EB105" s="174"/>
      <c r="FH105" s="178"/>
      <c r="FI105" s="178"/>
      <c r="FJ105" s="178"/>
      <c r="FK105" s="178"/>
      <c r="FL105" s="178"/>
      <c r="FM105" s="178"/>
      <c r="FN105" s="178"/>
      <c r="FO105" s="178"/>
      <c r="FP105" s="178"/>
      <c r="FQ105" s="178"/>
      <c r="FR105" s="178"/>
      <c r="FS105" s="178"/>
      <c r="FT105" s="178"/>
      <c r="FU105" s="178"/>
      <c r="FV105" s="178"/>
      <c r="FW105" s="178"/>
      <c r="FX105" s="178"/>
      <c r="FY105" s="178"/>
      <c r="FZ105" s="178"/>
      <c r="GA105" s="178"/>
      <c r="GB105" s="178"/>
      <c r="GC105" s="178"/>
      <c r="GD105" s="178"/>
      <c r="GE105" s="178"/>
      <c r="GF105" s="178"/>
      <c r="GG105" s="178"/>
      <c r="GH105" s="178"/>
      <c r="GI105" s="178"/>
      <c r="GJ105" s="178"/>
      <c r="GK105" s="178"/>
      <c r="GL105" s="178"/>
      <c r="GM105" s="178"/>
      <c r="GN105" s="178"/>
      <c r="GO105" s="178"/>
      <c r="GP105" s="178"/>
      <c r="GQ105" s="178"/>
      <c r="GR105" s="178"/>
      <c r="GS105" s="178"/>
      <c r="GT105" s="178"/>
      <c r="GU105" s="178"/>
      <c r="GV105" s="178"/>
      <c r="GW105" s="178"/>
      <c r="GX105" s="178"/>
      <c r="GY105" s="178"/>
      <c r="GZ105" s="178"/>
      <c r="HA105" s="178"/>
      <c r="HB105" s="178"/>
      <c r="HC105" s="178"/>
      <c r="HD105" s="178"/>
      <c r="HE105" s="178"/>
      <c r="HF105" s="178"/>
      <c r="HG105" s="178"/>
      <c r="HH105" s="178"/>
      <c r="HI105" s="178"/>
      <c r="HJ105" s="178"/>
      <c r="HK105" s="178"/>
      <c r="HL105" s="178"/>
      <c r="HM105" s="178"/>
      <c r="HN105" s="178"/>
      <c r="HO105" s="178"/>
      <c r="HP105" s="178"/>
      <c r="HQ105" s="178"/>
      <c r="HR105" s="178"/>
      <c r="HS105" s="178"/>
      <c r="HT105" s="178"/>
      <c r="HU105" s="178"/>
      <c r="HV105" s="178"/>
      <c r="HW105" s="178"/>
      <c r="HX105" s="178"/>
      <c r="HY105" s="178"/>
      <c r="HZ105" s="178"/>
      <c r="IA105" s="178"/>
      <c r="IB105" s="178"/>
      <c r="IC105" s="178"/>
      <c r="ID105" s="178"/>
      <c r="IE105" s="178"/>
      <c r="IF105" s="178"/>
      <c r="IG105" s="178"/>
      <c r="IH105" s="178"/>
      <c r="II105" s="178"/>
      <c r="IJ105" s="178"/>
      <c r="IK105" s="178"/>
      <c r="IL105" s="178"/>
      <c r="IM105" s="178"/>
      <c r="IN105" s="178"/>
      <c r="IO105" s="178"/>
      <c r="IP105" s="178"/>
      <c r="IQ105" s="178"/>
      <c r="IR105" s="178"/>
      <c r="IS105" s="178"/>
      <c r="IT105" s="178"/>
    </row>
    <row r="106" spans="1:254" s="161" customFormat="1" hidden="1">
      <c r="A106" s="178"/>
      <c r="E106" s="159"/>
      <c r="F106" s="171">
        <f>Constants!U16</f>
        <v>2</v>
      </c>
      <c r="H106" s="121"/>
      <c r="I106" s="121"/>
      <c r="K106" s="175"/>
      <c r="L106" s="159"/>
      <c r="S106" s="159"/>
      <c r="T106" s="159"/>
      <c r="U106" s="159"/>
      <c r="V106" s="159"/>
      <c r="W106" s="159"/>
      <c r="X106" s="159"/>
      <c r="Y106" s="159"/>
      <c r="Z106" s="159"/>
      <c r="AA106" s="159"/>
      <c r="AB106" s="159"/>
      <c r="AC106" s="159"/>
      <c r="AD106" s="159"/>
      <c r="AE106" s="159"/>
      <c r="AF106" s="159"/>
      <c r="AG106" s="175"/>
      <c r="AH106" s="175"/>
      <c r="EB106" s="174"/>
      <c r="FH106" s="178"/>
      <c r="FI106" s="178"/>
      <c r="FJ106" s="178"/>
      <c r="FK106" s="178"/>
      <c r="FL106" s="178"/>
      <c r="FM106" s="178"/>
      <c r="FN106" s="178"/>
      <c r="FO106" s="178"/>
      <c r="FP106" s="178"/>
      <c r="FQ106" s="178"/>
      <c r="FR106" s="178"/>
      <c r="FS106" s="178"/>
      <c r="FT106" s="178"/>
      <c r="FU106" s="178"/>
      <c r="FV106" s="178"/>
      <c r="FW106" s="178"/>
      <c r="FX106" s="178"/>
      <c r="FY106" s="178"/>
      <c r="FZ106" s="178"/>
      <c r="GA106" s="178"/>
      <c r="GB106" s="178"/>
      <c r="GC106" s="178"/>
      <c r="GD106" s="178"/>
      <c r="GE106" s="178"/>
      <c r="GF106" s="178"/>
      <c r="GG106" s="178"/>
      <c r="GH106" s="178"/>
      <c r="GI106" s="178"/>
      <c r="GJ106" s="178"/>
      <c r="GK106" s="178"/>
      <c r="GL106" s="178"/>
      <c r="GM106" s="178"/>
      <c r="GN106" s="178"/>
      <c r="GO106" s="178"/>
      <c r="GP106" s="178"/>
      <c r="GQ106" s="178"/>
      <c r="GR106" s="178"/>
      <c r="GS106" s="178"/>
      <c r="GT106" s="178"/>
      <c r="GU106" s="178"/>
      <c r="GV106" s="178"/>
      <c r="GW106" s="178"/>
      <c r="GX106" s="178"/>
      <c r="GY106" s="178"/>
      <c r="GZ106" s="178"/>
      <c r="HA106" s="178"/>
      <c r="HB106" s="178"/>
      <c r="HC106" s="178"/>
      <c r="HD106" s="178"/>
      <c r="HE106" s="178"/>
      <c r="HF106" s="178"/>
      <c r="HG106" s="178"/>
      <c r="HH106" s="178"/>
      <c r="HI106" s="178"/>
      <c r="HJ106" s="178"/>
      <c r="HK106" s="178"/>
      <c r="HL106" s="178"/>
      <c r="HM106" s="178"/>
      <c r="HN106" s="178"/>
      <c r="HO106" s="178"/>
      <c r="HP106" s="178"/>
      <c r="HQ106" s="178"/>
      <c r="HR106" s="178"/>
      <c r="HS106" s="178"/>
      <c r="HT106" s="178"/>
      <c r="HU106" s="178"/>
      <c r="HV106" s="178"/>
      <c r="HW106" s="178"/>
      <c r="HX106" s="178"/>
      <c r="HY106" s="178"/>
      <c r="HZ106" s="178"/>
      <c r="IA106" s="178"/>
      <c r="IB106" s="178"/>
      <c r="IC106" s="178"/>
      <c r="ID106" s="178"/>
      <c r="IE106" s="178"/>
      <c r="IF106" s="178"/>
      <c r="IG106" s="178"/>
      <c r="IH106" s="178"/>
      <c r="II106" s="178"/>
      <c r="IJ106" s="178"/>
      <c r="IK106" s="178"/>
      <c r="IL106" s="178"/>
      <c r="IM106" s="178"/>
      <c r="IN106" s="178"/>
      <c r="IO106" s="178"/>
      <c r="IP106" s="178"/>
      <c r="IQ106" s="178"/>
      <c r="IR106" s="178"/>
      <c r="IS106" s="178"/>
      <c r="IT106" s="178"/>
    </row>
    <row r="107" spans="1:254" s="161" customFormat="1" hidden="1">
      <c r="A107" s="178"/>
      <c r="E107" s="159"/>
      <c r="F107" s="171">
        <f>Constants!U17</f>
        <v>2.5</v>
      </c>
      <c r="H107" s="121"/>
      <c r="I107" s="121"/>
      <c r="K107" s="175"/>
      <c r="L107" s="159"/>
      <c r="S107" s="159"/>
      <c r="T107" s="159"/>
      <c r="U107" s="159"/>
      <c r="V107" s="159"/>
      <c r="W107" s="159"/>
      <c r="X107" s="159"/>
      <c r="Y107" s="159"/>
      <c r="Z107" s="159"/>
      <c r="AA107" s="159"/>
      <c r="AB107" s="159"/>
      <c r="AC107" s="159"/>
      <c r="AD107" s="159"/>
      <c r="AE107" s="159"/>
      <c r="AF107" s="159"/>
      <c r="AG107" s="175"/>
      <c r="AH107" s="175"/>
      <c r="EB107" s="174"/>
      <c r="FH107" s="178"/>
      <c r="FI107" s="178"/>
      <c r="FJ107" s="178"/>
      <c r="FK107" s="178"/>
      <c r="FL107" s="178"/>
      <c r="FM107" s="178"/>
      <c r="FN107" s="178"/>
      <c r="FO107" s="178"/>
      <c r="FP107" s="178"/>
      <c r="FQ107" s="178"/>
      <c r="FR107" s="178"/>
      <c r="FS107" s="178"/>
      <c r="FT107" s="178"/>
      <c r="FU107" s="178"/>
      <c r="FV107" s="178"/>
      <c r="FW107" s="178"/>
      <c r="FX107" s="178"/>
      <c r="FY107" s="178"/>
      <c r="FZ107" s="178"/>
      <c r="GA107" s="178"/>
      <c r="GB107" s="178"/>
      <c r="GC107" s="178"/>
      <c r="GD107" s="178"/>
      <c r="GE107" s="178"/>
      <c r="GF107" s="178"/>
      <c r="GG107" s="178"/>
      <c r="GH107" s="178"/>
      <c r="GI107" s="178"/>
      <c r="GJ107" s="178"/>
      <c r="GK107" s="178"/>
      <c r="GL107" s="178"/>
      <c r="GM107" s="178"/>
      <c r="GN107" s="178"/>
      <c r="GO107" s="178"/>
      <c r="GP107" s="178"/>
      <c r="GQ107" s="178"/>
      <c r="GR107" s="178"/>
      <c r="GS107" s="178"/>
      <c r="GT107" s="178"/>
      <c r="GU107" s="178"/>
      <c r="GV107" s="178"/>
      <c r="GW107" s="178"/>
      <c r="GX107" s="178"/>
      <c r="GY107" s="178"/>
      <c r="GZ107" s="178"/>
      <c r="HA107" s="178"/>
      <c r="HB107" s="178"/>
      <c r="HC107" s="178"/>
      <c r="HD107" s="178"/>
      <c r="HE107" s="178"/>
      <c r="HF107" s="178"/>
      <c r="HG107" s="178"/>
      <c r="HH107" s="178"/>
      <c r="HI107" s="178"/>
      <c r="HJ107" s="178"/>
      <c r="HK107" s="178"/>
      <c r="HL107" s="178"/>
      <c r="HM107" s="178"/>
      <c r="HN107" s="178"/>
      <c r="HO107" s="178"/>
      <c r="HP107" s="178"/>
      <c r="HQ107" s="178"/>
      <c r="HR107" s="178"/>
      <c r="HS107" s="178"/>
      <c r="HT107" s="178"/>
      <c r="HU107" s="178"/>
      <c r="HV107" s="178"/>
      <c r="HW107" s="178"/>
      <c r="HX107" s="178"/>
      <c r="HY107" s="178"/>
      <c r="HZ107" s="178"/>
      <c r="IA107" s="178"/>
      <c r="IB107" s="178"/>
      <c r="IC107" s="178"/>
      <c r="ID107" s="178"/>
      <c r="IE107" s="178"/>
      <c r="IF107" s="178"/>
      <c r="IG107" s="178"/>
      <c r="IH107" s="178"/>
      <c r="II107" s="178"/>
      <c r="IJ107" s="178"/>
      <c r="IK107" s="178"/>
      <c r="IL107" s="178"/>
      <c r="IM107" s="178"/>
      <c r="IN107" s="178"/>
      <c r="IO107" s="178"/>
      <c r="IP107" s="178"/>
      <c r="IQ107" s="178"/>
      <c r="IR107" s="178"/>
      <c r="IS107" s="178"/>
      <c r="IT107" s="178"/>
    </row>
    <row r="108" spans="1:254" s="161" customFormat="1" hidden="1">
      <c r="A108" s="178"/>
      <c r="E108" s="159"/>
      <c r="F108" s="171">
        <f>Constants!U18</f>
        <v>3</v>
      </c>
      <c r="H108" s="121"/>
      <c r="I108" s="121"/>
      <c r="K108" s="175"/>
      <c r="L108" s="159"/>
      <c r="S108" s="159"/>
      <c r="T108" s="159"/>
      <c r="U108" s="159"/>
      <c r="V108" s="159"/>
      <c r="W108" s="159"/>
      <c r="X108" s="159"/>
      <c r="Y108" s="159"/>
      <c r="Z108" s="159"/>
      <c r="AA108" s="159"/>
      <c r="AB108" s="159"/>
      <c r="AC108" s="159"/>
      <c r="AD108" s="159"/>
      <c r="AE108" s="159"/>
      <c r="AF108" s="159"/>
      <c r="AG108" s="175"/>
      <c r="AH108" s="175"/>
      <c r="EB108" s="174"/>
      <c r="FH108" s="178"/>
      <c r="FI108" s="178"/>
      <c r="FJ108" s="178"/>
      <c r="FK108" s="178"/>
      <c r="FL108" s="178"/>
      <c r="FM108" s="178"/>
      <c r="FN108" s="178"/>
      <c r="FO108" s="178"/>
      <c r="FP108" s="178"/>
      <c r="FQ108" s="178"/>
      <c r="FR108" s="178"/>
      <c r="FS108" s="178"/>
      <c r="FT108" s="178"/>
      <c r="FU108" s="178"/>
      <c r="FV108" s="178"/>
      <c r="FW108" s="178"/>
      <c r="FX108" s="178"/>
      <c r="FY108" s="178"/>
      <c r="FZ108" s="178"/>
      <c r="GA108" s="178"/>
      <c r="GB108" s="178"/>
      <c r="GC108" s="178"/>
      <c r="GD108" s="178"/>
      <c r="GE108" s="178"/>
      <c r="GF108" s="178"/>
      <c r="GG108" s="178"/>
      <c r="GH108" s="178"/>
      <c r="GI108" s="178"/>
      <c r="GJ108" s="178"/>
      <c r="GK108" s="178"/>
      <c r="GL108" s="178"/>
      <c r="GM108" s="178"/>
      <c r="GN108" s="178"/>
      <c r="GO108" s="178"/>
      <c r="GP108" s="178"/>
      <c r="GQ108" s="178"/>
      <c r="GR108" s="178"/>
      <c r="GS108" s="178"/>
      <c r="GT108" s="178"/>
      <c r="GU108" s="178"/>
      <c r="GV108" s="178"/>
      <c r="GW108" s="178"/>
      <c r="GX108" s="178"/>
      <c r="GY108" s="178"/>
      <c r="GZ108" s="178"/>
      <c r="HA108" s="178"/>
      <c r="HB108" s="178"/>
      <c r="HC108" s="178"/>
      <c r="HD108" s="178"/>
      <c r="HE108" s="178"/>
      <c r="HF108" s="178"/>
      <c r="HG108" s="178"/>
      <c r="HH108" s="178"/>
      <c r="HI108" s="178"/>
      <c r="HJ108" s="178"/>
      <c r="HK108" s="178"/>
      <c r="HL108" s="178"/>
      <c r="HM108" s="178"/>
      <c r="HN108" s="178"/>
      <c r="HO108" s="178"/>
      <c r="HP108" s="178"/>
      <c r="HQ108" s="178"/>
      <c r="HR108" s="178"/>
      <c r="HS108" s="178"/>
      <c r="HT108" s="178"/>
      <c r="HU108" s="178"/>
      <c r="HV108" s="178"/>
      <c r="HW108" s="178"/>
      <c r="HX108" s="178"/>
      <c r="HY108" s="178"/>
      <c r="HZ108" s="178"/>
      <c r="IA108" s="178"/>
      <c r="IB108" s="178"/>
      <c r="IC108" s="178"/>
      <c r="ID108" s="178"/>
      <c r="IE108" s="178"/>
      <c r="IF108" s="178"/>
      <c r="IG108" s="178"/>
      <c r="IH108" s="178"/>
      <c r="II108" s="178"/>
      <c r="IJ108" s="178"/>
      <c r="IK108" s="178"/>
      <c r="IL108" s="178"/>
      <c r="IM108" s="178"/>
      <c r="IN108" s="178"/>
      <c r="IO108" s="178"/>
      <c r="IP108" s="178"/>
      <c r="IQ108" s="178"/>
      <c r="IR108" s="178"/>
      <c r="IS108" s="178"/>
      <c r="IT108" s="178"/>
    </row>
    <row r="109" spans="1:254" s="161" customFormat="1" hidden="1">
      <c r="A109" s="178"/>
      <c r="E109" s="159"/>
      <c r="F109" s="171">
        <f>Constants!U19</f>
        <v>4</v>
      </c>
      <c r="H109" s="121"/>
      <c r="I109" s="121"/>
      <c r="K109" s="175"/>
      <c r="L109" s="159"/>
      <c r="S109" s="159"/>
      <c r="T109" s="159"/>
      <c r="U109" s="159"/>
      <c r="V109" s="159"/>
      <c r="W109" s="159"/>
      <c r="X109" s="159"/>
      <c r="Y109" s="159"/>
      <c r="Z109" s="159"/>
      <c r="AA109" s="159"/>
      <c r="AB109" s="159"/>
      <c r="AC109" s="159"/>
      <c r="AD109" s="159"/>
      <c r="AE109" s="159"/>
      <c r="AF109" s="159"/>
      <c r="AG109" s="175"/>
      <c r="AH109" s="175"/>
      <c r="EB109" s="174"/>
      <c r="FH109" s="178"/>
      <c r="FI109" s="178"/>
      <c r="FJ109" s="178"/>
      <c r="FK109" s="178"/>
      <c r="FL109" s="178"/>
      <c r="FM109" s="178"/>
      <c r="FN109" s="178"/>
      <c r="FO109" s="178"/>
      <c r="FP109" s="178"/>
      <c r="FQ109" s="178"/>
      <c r="FR109" s="178"/>
      <c r="FS109" s="178"/>
      <c r="FT109" s="178"/>
      <c r="FU109" s="178"/>
      <c r="FV109" s="178"/>
      <c r="FW109" s="178"/>
      <c r="FX109" s="178"/>
      <c r="FY109" s="178"/>
      <c r="FZ109" s="178"/>
      <c r="GA109" s="178"/>
      <c r="GB109" s="178"/>
      <c r="GC109" s="178"/>
      <c r="GD109" s="178"/>
      <c r="GE109" s="178"/>
      <c r="GF109" s="178"/>
      <c r="GG109" s="178"/>
      <c r="GH109" s="178"/>
      <c r="GI109" s="178"/>
      <c r="GJ109" s="178"/>
      <c r="GK109" s="178"/>
      <c r="GL109" s="178"/>
      <c r="GM109" s="178"/>
      <c r="GN109" s="178"/>
      <c r="GO109" s="178"/>
      <c r="GP109" s="178"/>
      <c r="GQ109" s="178"/>
      <c r="GR109" s="178"/>
      <c r="GS109" s="178"/>
      <c r="GT109" s="178"/>
      <c r="GU109" s="178"/>
      <c r="GV109" s="178"/>
      <c r="GW109" s="178"/>
      <c r="GX109" s="178"/>
      <c r="GY109" s="178"/>
      <c r="GZ109" s="178"/>
      <c r="HA109" s="178"/>
      <c r="HB109" s="178"/>
      <c r="HC109" s="178"/>
      <c r="HD109" s="178"/>
      <c r="HE109" s="178"/>
      <c r="HF109" s="178"/>
      <c r="HG109" s="178"/>
      <c r="HH109" s="178"/>
      <c r="HI109" s="178"/>
      <c r="HJ109" s="178"/>
      <c r="HK109" s="178"/>
      <c r="HL109" s="178"/>
      <c r="HM109" s="178"/>
      <c r="HN109" s="178"/>
      <c r="HO109" s="178"/>
      <c r="HP109" s="178"/>
      <c r="HQ109" s="178"/>
      <c r="HR109" s="178"/>
      <c r="HS109" s="178"/>
      <c r="HT109" s="178"/>
      <c r="HU109" s="178"/>
      <c r="HV109" s="178"/>
      <c r="HW109" s="178"/>
      <c r="HX109" s="178"/>
      <c r="HY109" s="178"/>
      <c r="HZ109" s="178"/>
      <c r="IA109" s="178"/>
      <c r="IB109" s="178"/>
      <c r="IC109" s="178"/>
      <c r="ID109" s="178"/>
      <c r="IE109" s="178"/>
      <c r="IF109" s="178"/>
      <c r="IG109" s="178"/>
      <c r="IH109" s="178"/>
      <c r="II109" s="178"/>
      <c r="IJ109" s="178"/>
      <c r="IK109" s="178"/>
      <c r="IL109" s="178"/>
      <c r="IM109" s="178"/>
      <c r="IN109" s="178"/>
      <c r="IO109" s="178"/>
      <c r="IP109" s="178"/>
      <c r="IQ109" s="178"/>
      <c r="IR109" s="178"/>
      <c r="IS109" s="178"/>
      <c r="IT109" s="178"/>
    </row>
    <row r="110" spans="1:254" s="161" customFormat="1" hidden="1">
      <c r="A110" s="178"/>
      <c r="E110" s="159"/>
      <c r="F110" s="171">
        <f>Constants!U20</f>
        <v>5</v>
      </c>
      <c r="H110" s="121"/>
      <c r="I110" s="121"/>
      <c r="K110" s="175"/>
      <c r="L110" s="159"/>
      <c r="S110" s="159"/>
      <c r="T110" s="159"/>
      <c r="U110" s="159"/>
      <c r="V110" s="159"/>
      <c r="W110" s="159"/>
      <c r="X110" s="159"/>
      <c r="Y110" s="159"/>
      <c r="Z110" s="159"/>
      <c r="AA110" s="159"/>
      <c r="AB110" s="159"/>
      <c r="AC110" s="159"/>
      <c r="AD110" s="159"/>
      <c r="AE110" s="159"/>
      <c r="AF110" s="159"/>
      <c r="AG110" s="175"/>
      <c r="AH110" s="175"/>
      <c r="EB110" s="174"/>
      <c r="FH110" s="178"/>
      <c r="FI110" s="178"/>
      <c r="FJ110" s="178"/>
      <c r="FK110" s="178"/>
      <c r="FL110" s="178"/>
      <c r="FM110" s="178"/>
      <c r="FN110" s="178"/>
      <c r="FO110" s="178"/>
      <c r="FP110" s="178"/>
      <c r="FQ110" s="178"/>
      <c r="FR110" s="178"/>
      <c r="FS110" s="178"/>
      <c r="FT110" s="178"/>
      <c r="FU110" s="178"/>
      <c r="FV110" s="178"/>
      <c r="FW110" s="178"/>
      <c r="FX110" s="178"/>
      <c r="FY110" s="178"/>
      <c r="FZ110" s="178"/>
      <c r="GA110" s="178"/>
      <c r="GB110" s="178"/>
      <c r="GC110" s="178"/>
      <c r="GD110" s="178"/>
      <c r="GE110" s="178"/>
      <c r="GF110" s="178"/>
      <c r="GG110" s="178"/>
      <c r="GH110" s="178"/>
      <c r="GI110" s="178"/>
      <c r="GJ110" s="178"/>
      <c r="GK110" s="178"/>
      <c r="GL110" s="178"/>
      <c r="GM110" s="178"/>
      <c r="GN110" s="178"/>
      <c r="GO110" s="178"/>
      <c r="GP110" s="178"/>
      <c r="GQ110" s="178"/>
      <c r="GR110" s="178"/>
      <c r="GS110" s="178"/>
      <c r="GT110" s="178"/>
      <c r="GU110" s="178"/>
      <c r="GV110" s="178"/>
      <c r="GW110" s="178"/>
      <c r="GX110" s="178"/>
      <c r="GY110" s="178"/>
      <c r="GZ110" s="178"/>
      <c r="HA110" s="178"/>
      <c r="HB110" s="178"/>
      <c r="HC110" s="178"/>
      <c r="HD110" s="178"/>
      <c r="HE110" s="178"/>
      <c r="HF110" s="178"/>
      <c r="HG110" s="178"/>
      <c r="HH110" s="178"/>
      <c r="HI110" s="178"/>
      <c r="HJ110" s="178"/>
      <c r="HK110" s="178"/>
      <c r="HL110" s="178"/>
      <c r="HM110" s="178"/>
      <c r="HN110" s="178"/>
      <c r="HO110" s="178"/>
      <c r="HP110" s="178"/>
      <c r="HQ110" s="178"/>
      <c r="HR110" s="178"/>
      <c r="HS110" s="178"/>
      <c r="HT110" s="178"/>
      <c r="HU110" s="178"/>
      <c r="HV110" s="178"/>
      <c r="HW110" s="178"/>
      <c r="HX110" s="178"/>
      <c r="HY110" s="178"/>
      <c r="HZ110" s="178"/>
      <c r="IA110" s="178"/>
      <c r="IB110" s="178"/>
      <c r="IC110" s="178"/>
      <c r="ID110" s="178"/>
      <c r="IE110" s="178"/>
      <c r="IF110" s="178"/>
      <c r="IG110" s="178"/>
      <c r="IH110" s="178"/>
      <c r="II110" s="178"/>
      <c r="IJ110" s="178"/>
      <c r="IK110" s="178"/>
      <c r="IL110" s="178"/>
      <c r="IM110" s="178"/>
      <c r="IN110" s="178"/>
      <c r="IO110" s="178"/>
      <c r="IP110" s="178"/>
      <c r="IQ110" s="178"/>
      <c r="IR110" s="178"/>
      <c r="IS110" s="178"/>
      <c r="IT110" s="178"/>
    </row>
    <row r="111" spans="1:254" s="161" customFormat="1" hidden="1">
      <c r="A111" s="178"/>
      <c r="E111" s="159"/>
      <c r="F111" s="171">
        <f>Constants!U21</f>
        <v>6</v>
      </c>
      <c r="H111" s="121"/>
      <c r="I111" s="121"/>
      <c r="K111" s="175"/>
      <c r="L111" s="159"/>
      <c r="S111" s="159"/>
      <c r="T111" s="159"/>
      <c r="U111" s="159"/>
      <c r="V111" s="159"/>
      <c r="W111" s="159"/>
      <c r="X111" s="159"/>
      <c r="Y111" s="159"/>
      <c r="Z111" s="159"/>
      <c r="AA111" s="159"/>
      <c r="AB111" s="159"/>
      <c r="AC111" s="159"/>
      <c r="AD111" s="159"/>
      <c r="AE111" s="159"/>
      <c r="AF111" s="159"/>
      <c r="AG111" s="175"/>
      <c r="AH111" s="175"/>
      <c r="EB111" s="174"/>
      <c r="FH111" s="178"/>
      <c r="FI111" s="178"/>
      <c r="FJ111" s="178"/>
      <c r="FK111" s="178"/>
      <c r="FL111" s="178"/>
      <c r="FM111" s="178"/>
      <c r="FN111" s="178"/>
      <c r="FO111" s="178"/>
      <c r="FP111" s="178"/>
      <c r="FQ111" s="178"/>
      <c r="FR111" s="178"/>
      <c r="FS111" s="178"/>
      <c r="FT111" s="178"/>
      <c r="FU111" s="178"/>
      <c r="FV111" s="178"/>
      <c r="FW111" s="178"/>
      <c r="FX111" s="178"/>
      <c r="FY111" s="178"/>
      <c r="FZ111" s="178"/>
      <c r="GA111" s="178"/>
      <c r="GB111" s="178"/>
      <c r="GC111" s="178"/>
      <c r="GD111" s="178"/>
      <c r="GE111" s="178"/>
      <c r="GF111" s="178"/>
      <c r="GG111" s="178"/>
      <c r="GH111" s="178"/>
      <c r="GI111" s="178"/>
      <c r="GJ111" s="178"/>
      <c r="GK111" s="178"/>
      <c r="GL111" s="178"/>
      <c r="GM111" s="178"/>
      <c r="GN111" s="178"/>
      <c r="GO111" s="178"/>
      <c r="GP111" s="178"/>
      <c r="GQ111" s="178"/>
      <c r="GR111" s="178"/>
      <c r="GS111" s="178"/>
      <c r="GT111" s="178"/>
      <c r="GU111" s="178"/>
      <c r="GV111" s="178"/>
      <c r="GW111" s="178"/>
      <c r="GX111" s="178"/>
      <c r="GY111" s="178"/>
      <c r="GZ111" s="178"/>
      <c r="HA111" s="178"/>
      <c r="HB111" s="178"/>
      <c r="HC111" s="178"/>
      <c r="HD111" s="178"/>
      <c r="HE111" s="178"/>
      <c r="HF111" s="178"/>
      <c r="HG111" s="178"/>
      <c r="HH111" s="178"/>
      <c r="HI111" s="178"/>
      <c r="HJ111" s="178"/>
      <c r="HK111" s="178"/>
      <c r="HL111" s="178"/>
      <c r="HM111" s="178"/>
      <c r="HN111" s="178"/>
      <c r="HO111" s="178"/>
      <c r="HP111" s="178"/>
      <c r="HQ111" s="178"/>
      <c r="HR111" s="178"/>
      <c r="HS111" s="178"/>
      <c r="HT111" s="178"/>
      <c r="HU111" s="178"/>
      <c r="HV111" s="178"/>
      <c r="HW111" s="178"/>
      <c r="HX111" s="178"/>
      <c r="HY111" s="178"/>
      <c r="HZ111" s="178"/>
      <c r="IA111" s="178"/>
      <c r="IB111" s="178"/>
      <c r="IC111" s="178"/>
      <c r="ID111" s="178"/>
      <c r="IE111" s="178"/>
      <c r="IF111" s="178"/>
      <c r="IG111" s="178"/>
      <c r="IH111" s="178"/>
      <c r="II111" s="178"/>
      <c r="IJ111" s="178"/>
      <c r="IK111" s="178"/>
      <c r="IL111" s="178"/>
      <c r="IM111" s="178"/>
      <c r="IN111" s="178"/>
      <c r="IO111" s="178"/>
      <c r="IP111" s="178"/>
      <c r="IQ111" s="178"/>
      <c r="IR111" s="178"/>
      <c r="IS111" s="178"/>
      <c r="IT111" s="178"/>
    </row>
    <row r="112" spans="1:254" s="161" customFormat="1" hidden="1">
      <c r="A112" s="178"/>
      <c r="E112" s="159"/>
      <c r="F112" s="171">
        <f>Constants!U22</f>
        <v>8</v>
      </c>
      <c r="H112" s="121"/>
      <c r="I112" s="121"/>
      <c r="K112" s="175"/>
      <c r="L112" s="159"/>
      <c r="S112" s="159"/>
      <c r="T112" s="159"/>
      <c r="U112" s="159"/>
      <c r="V112" s="159"/>
      <c r="W112" s="159"/>
      <c r="X112" s="159"/>
      <c r="Y112" s="159"/>
      <c r="Z112" s="159"/>
      <c r="AA112" s="159"/>
      <c r="AB112" s="159"/>
      <c r="AC112" s="159"/>
      <c r="AD112" s="159"/>
      <c r="AE112" s="159"/>
      <c r="AF112" s="159"/>
      <c r="AG112" s="175"/>
      <c r="AH112" s="175"/>
      <c r="EB112" s="174"/>
      <c r="FH112" s="178"/>
      <c r="FI112" s="178"/>
      <c r="FJ112" s="178"/>
      <c r="FK112" s="178"/>
      <c r="FL112" s="178"/>
      <c r="FM112" s="178"/>
      <c r="FN112" s="178"/>
      <c r="FO112" s="178"/>
      <c r="FP112" s="178"/>
      <c r="FQ112" s="178"/>
      <c r="FR112" s="178"/>
      <c r="FS112" s="178"/>
      <c r="FT112" s="178"/>
      <c r="FU112" s="178"/>
      <c r="FV112" s="178"/>
      <c r="FW112" s="178"/>
      <c r="FX112" s="178"/>
      <c r="FY112" s="178"/>
      <c r="FZ112" s="178"/>
      <c r="GA112" s="178"/>
      <c r="GB112" s="178"/>
      <c r="GC112" s="178"/>
      <c r="GD112" s="178"/>
      <c r="GE112" s="178"/>
      <c r="GF112" s="178"/>
      <c r="GG112" s="178"/>
      <c r="GH112" s="178"/>
      <c r="GI112" s="178"/>
      <c r="GJ112" s="178"/>
      <c r="GK112" s="178"/>
      <c r="GL112" s="178"/>
      <c r="GM112" s="178"/>
      <c r="GN112" s="178"/>
      <c r="GO112" s="178"/>
      <c r="GP112" s="178"/>
      <c r="GQ112" s="178"/>
      <c r="GR112" s="178"/>
      <c r="GS112" s="178"/>
      <c r="GT112" s="178"/>
      <c r="GU112" s="178"/>
      <c r="GV112" s="178"/>
      <c r="GW112" s="178"/>
      <c r="GX112" s="178"/>
      <c r="GY112" s="178"/>
      <c r="GZ112" s="178"/>
      <c r="HA112" s="178"/>
      <c r="HB112" s="178"/>
      <c r="HC112" s="178"/>
      <c r="HD112" s="178"/>
      <c r="HE112" s="178"/>
      <c r="HF112" s="178"/>
      <c r="HG112" s="178"/>
      <c r="HH112" s="178"/>
      <c r="HI112" s="178"/>
      <c r="HJ112" s="178"/>
      <c r="HK112" s="178"/>
      <c r="HL112" s="178"/>
      <c r="HM112" s="178"/>
      <c r="HN112" s="178"/>
      <c r="HO112" s="178"/>
      <c r="HP112" s="178"/>
      <c r="HQ112" s="178"/>
      <c r="HR112" s="178"/>
      <c r="HS112" s="178"/>
      <c r="HT112" s="178"/>
      <c r="HU112" s="178"/>
      <c r="HV112" s="178"/>
      <c r="HW112" s="178"/>
      <c r="HX112" s="178"/>
      <c r="HY112" s="178"/>
      <c r="HZ112" s="178"/>
      <c r="IA112" s="178"/>
      <c r="IB112" s="178"/>
      <c r="IC112" s="178"/>
      <c r="ID112" s="178"/>
      <c r="IE112" s="178"/>
      <c r="IF112" s="178"/>
      <c r="IG112" s="178"/>
      <c r="IH112" s="178"/>
      <c r="II112" s="178"/>
      <c r="IJ112" s="178"/>
      <c r="IK112" s="178"/>
      <c r="IL112" s="178"/>
      <c r="IM112" s="178"/>
      <c r="IN112" s="178"/>
      <c r="IO112" s="178"/>
      <c r="IP112" s="178"/>
      <c r="IQ112" s="178"/>
      <c r="IR112" s="178"/>
      <c r="IS112" s="178"/>
      <c r="IT112" s="178"/>
    </row>
    <row r="113" spans="1:254" s="161" customFormat="1" hidden="1">
      <c r="A113" s="178"/>
      <c r="E113" s="159"/>
      <c r="F113" s="171">
        <f>Constants!U23</f>
        <v>10</v>
      </c>
      <c r="H113" s="121"/>
      <c r="I113" s="121"/>
      <c r="K113" s="175"/>
      <c r="L113" s="159"/>
      <c r="S113" s="159"/>
      <c r="T113" s="159"/>
      <c r="U113" s="159"/>
      <c r="V113" s="159"/>
      <c r="W113" s="159"/>
      <c r="X113" s="159"/>
      <c r="Y113" s="159"/>
      <c r="Z113" s="159"/>
      <c r="AA113" s="159"/>
      <c r="AB113" s="159"/>
      <c r="AC113" s="159"/>
      <c r="AD113" s="159"/>
      <c r="AE113" s="159"/>
      <c r="AF113" s="159"/>
      <c r="AG113" s="175"/>
      <c r="AH113" s="175"/>
      <c r="EB113" s="174"/>
      <c r="FH113" s="178"/>
      <c r="FI113" s="178"/>
      <c r="FJ113" s="178"/>
      <c r="FK113" s="178"/>
      <c r="FL113" s="178"/>
      <c r="FM113" s="178"/>
      <c r="FN113" s="178"/>
      <c r="FO113" s="178"/>
      <c r="FP113" s="178"/>
      <c r="FQ113" s="178"/>
      <c r="FR113" s="178"/>
      <c r="FS113" s="178"/>
      <c r="FT113" s="178"/>
      <c r="FU113" s="178"/>
      <c r="FV113" s="178"/>
      <c r="FW113" s="178"/>
      <c r="FX113" s="178"/>
      <c r="FY113" s="178"/>
      <c r="FZ113" s="178"/>
      <c r="GA113" s="178"/>
      <c r="GB113" s="178"/>
      <c r="GC113" s="178"/>
      <c r="GD113" s="178"/>
      <c r="GE113" s="178"/>
      <c r="GF113" s="178"/>
      <c r="GG113" s="178"/>
      <c r="GH113" s="178"/>
      <c r="GI113" s="178"/>
      <c r="GJ113" s="178"/>
      <c r="GK113" s="178"/>
      <c r="GL113" s="178"/>
      <c r="GM113" s="178"/>
      <c r="GN113" s="178"/>
      <c r="GO113" s="178"/>
      <c r="GP113" s="178"/>
      <c r="GQ113" s="178"/>
      <c r="GR113" s="178"/>
      <c r="GS113" s="178"/>
      <c r="GT113" s="178"/>
      <c r="GU113" s="178"/>
      <c r="GV113" s="178"/>
      <c r="GW113" s="178"/>
      <c r="GX113" s="178"/>
      <c r="GY113" s="178"/>
      <c r="GZ113" s="178"/>
      <c r="HA113" s="178"/>
      <c r="HB113" s="178"/>
      <c r="HC113" s="178"/>
      <c r="HD113" s="178"/>
      <c r="HE113" s="178"/>
      <c r="HF113" s="178"/>
      <c r="HG113" s="178"/>
      <c r="HH113" s="178"/>
      <c r="HI113" s="178"/>
      <c r="HJ113" s="178"/>
      <c r="HK113" s="178"/>
      <c r="HL113" s="178"/>
      <c r="HM113" s="178"/>
      <c r="HN113" s="178"/>
      <c r="HO113" s="178"/>
      <c r="HP113" s="178"/>
      <c r="HQ113" s="178"/>
      <c r="HR113" s="178"/>
      <c r="HS113" s="178"/>
      <c r="HT113" s="178"/>
      <c r="HU113" s="178"/>
      <c r="HV113" s="178"/>
      <c r="HW113" s="178"/>
      <c r="HX113" s="178"/>
      <c r="HY113" s="178"/>
      <c r="HZ113" s="178"/>
      <c r="IA113" s="178"/>
      <c r="IB113" s="178"/>
      <c r="IC113" s="178"/>
      <c r="ID113" s="178"/>
      <c r="IE113" s="178"/>
      <c r="IF113" s="178"/>
      <c r="IG113" s="178"/>
      <c r="IH113" s="178"/>
      <c r="II113" s="178"/>
      <c r="IJ113" s="178"/>
      <c r="IK113" s="178"/>
      <c r="IL113" s="178"/>
      <c r="IM113" s="178"/>
      <c r="IN113" s="178"/>
      <c r="IO113" s="178"/>
      <c r="IP113" s="178"/>
      <c r="IQ113" s="178"/>
      <c r="IR113" s="178"/>
      <c r="IS113" s="178"/>
      <c r="IT113" s="178"/>
    </row>
    <row r="114" spans="1:254" s="161" customFormat="1" hidden="1">
      <c r="A114" s="178"/>
      <c r="E114" s="159"/>
      <c r="F114" s="171">
        <f>Constants!U24</f>
        <v>12</v>
      </c>
      <c r="H114" s="121"/>
      <c r="I114" s="121"/>
      <c r="K114" s="175"/>
      <c r="L114" s="159"/>
      <c r="S114" s="159"/>
      <c r="T114" s="159"/>
      <c r="U114" s="159"/>
      <c r="V114" s="159"/>
      <c r="W114" s="159"/>
      <c r="X114" s="159"/>
      <c r="Y114" s="159"/>
      <c r="Z114" s="159"/>
      <c r="AA114" s="159"/>
      <c r="AB114" s="159"/>
      <c r="AC114" s="159"/>
      <c r="AD114" s="159"/>
      <c r="AE114" s="159"/>
      <c r="AF114" s="159"/>
      <c r="AG114" s="175"/>
      <c r="AH114" s="175"/>
      <c r="EB114" s="174"/>
      <c r="FH114" s="178"/>
      <c r="FI114" s="178"/>
      <c r="FJ114" s="178"/>
      <c r="FK114" s="178"/>
      <c r="FL114" s="178"/>
      <c r="FM114" s="178"/>
      <c r="FN114" s="178"/>
      <c r="FO114" s="178"/>
      <c r="FP114" s="178"/>
      <c r="FQ114" s="178"/>
      <c r="FR114" s="178"/>
      <c r="FS114" s="178"/>
      <c r="FT114" s="178"/>
      <c r="FU114" s="178"/>
      <c r="FV114" s="178"/>
      <c r="FW114" s="178"/>
      <c r="FX114" s="178"/>
      <c r="FY114" s="178"/>
      <c r="FZ114" s="178"/>
      <c r="GA114" s="178"/>
      <c r="GB114" s="178"/>
      <c r="GC114" s="178"/>
      <c r="GD114" s="178"/>
      <c r="GE114" s="178"/>
      <c r="GF114" s="178"/>
      <c r="GG114" s="178"/>
      <c r="GH114" s="178"/>
      <c r="GI114" s="178"/>
      <c r="GJ114" s="178"/>
      <c r="GK114" s="178"/>
      <c r="GL114" s="178"/>
      <c r="GM114" s="178"/>
      <c r="GN114" s="178"/>
      <c r="GO114" s="178"/>
      <c r="GP114" s="178"/>
      <c r="GQ114" s="178"/>
      <c r="GR114" s="178"/>
      <c r="GS114" s="178"/>
      <c r="GT114" s="178"/>
      <c r="GU114" s="178"/>
      <c r="GV114" s="178"/>
      <c r="GW114" s="178"/>
      <c r="GX114" s="178"/>
      <c r="GY114" s="178"/>
      <c r="GZ114" s="178"/>
      <c r="HA114" s="178"/>
      <c r="HB114" s="178"/>
      <c r="HC114" s="178"/>
      <c r="HD114" s="178"/>
      <c r="HE114" s="178"/>
      <c r="HF114" s="178"/>
      <c r="HG114" s="178"/>
      <c r="HH114" s="178"/>
      <c r="HI114" s="178"/>
      <c r="HJ114" s="178"/>
      <c r="HK114" s="178"/>
      <c r="HL114" s="178"/>
      <c r="HM114" s="178"/>
      <c r="HN114" s="178"/>
      <c r="HO114" s="178"/>
      <c r="HP114" s="178"/>
      <c r="HQ114" s="178"/>
      <c r="HR114" s="178"/>
      <c r="HS114" s="178"/>
      <c r="HT114" s="178"/>
      <c r="HU114" s="178"/>
      <c r="HV114" s="178"/>
      <c r="HW114" s="178"/>
      <c r="HX114" s="178"/>
      <c r="HY114" s="178"/>
      <c r="HZ114" s="178"/>
      <c r="IA114" s="178"/>
      <c r="IB114" s="178"/>
      <c r="IC114" s="178"/>
      <c r="ID114" s="178"/>
      <c r="IE114" s="178"/>
      <c r="IF114" s="178"/>
      <c r="IG114" s="178"/>
      <c r="IH114" s="178"/>
      <c r="II114" s="178"/>
      <c r="IJ114" s="178"/>
      <c r="IK114" s="178"/>
      <c r="IL114" s="178"/>
      <c r="IM114" s="178"/>
      <c r="IN114" s="178"/>
      <c r="IO114" s="178"/>
      <c r="IP114" s="178"/>
      <c r="IQ114" s="178"/>
      <c r="IR114" s="178"/>
      <c r="IS114" s="178"/>
      <c r="IT114" s="178"/>
    </row>
    <row r="115" spans="1:254" s="161" customFormat="1" hidden="1">
      <c r="A115" s="178"/>
      <c r="E115" s="159"/>
      <c r="F115" s="171">
        <f>Constants!U25</f>
        <v>14</v>
      </c>
      <c r="H115" s="121"/>
      <c r="I115" s="121"/>
      <c r="K115" s="175"/>
      <c r="L115" s="159"/>
      <c r="S115" s="159"/>
      <c r="T115" s="159"/>
      <c r="U115" s="159"/>
      <c r="V115" s="159"/>
      <c r="W115" s="159"/>
      <c r="X115" s="159"/>
      <c r="Y115" s="159"/>
      <c r="Z115" s="159"/>
      <c r="AA115" s="159"/>
      <c r="AB115" s="159"/>
      <c r="AC115" s="159"/>
      <c r="AD115" s="159"/>
      <c r="AE115" s="159"/>
      <c r="AF115" s="159"/>
      <c r="AG115" s="175"/>
      <c r="AH115" s="175"/>
      <c r="EB115" s="174"/>
      <c r="FH115" s="178"/>
      <c r="FI115" s="178"/>
      <c r="FJ115" s="178"/>
      <c r="FK115" s="178"/>
      <c r="FL115" s="178"/>
      <c r="FM115" s="178"/>
      <c r="FN115" s="178"/>
      <c r="FO115" s="178"/>
      <c r="FP115" s="178"/>
      <c r="FQ115" s="178"/>
      <c r="FR115" s="178"/>
      <c r="FS115" s="178"/>
      <c r="FT115" s="178"/>
      <c r="FU115" s="178"/>
      <c r="FV115" s="178"/>
      <c r="FW115" s="178"/>
      <c r="FX115" s="178"/>
      <c r="FY115" s="178"/>
      <c r="FZ115" s="178"/>
      <c r="GA115" s="178"/>
      <c r="GB115" s="178"/>
      <c r="GC115" s="178"/>
      <c r="GD115" s="178"/>
      <c r="GE115" s="178"/>
      <c r="GF115" s="178"/>
      <c r="GG115" s="178"/>
      <c r="GH115" s="178"/>
      <c r="GI115" s="178"/>
      <c r="GJ115" s="178"/>
      <c r="GK115" s="178"/>
      <c r="GL115" s="178"/>
      <c r="GM115" s="178"/>
      <c r="GN115" s="178"/>
      <c r="GO115" s="178"/>
      <c r="GP115" s="178"/>
      <c r="GQ115" s="178"/>
      <c r="GR115" s="178"/>
      <c r="GS115" s="178"/>
      <c r="GT115" s="178"/>
      <c r="GU115" s="178"/>
      <c r="GV115" s="178"/>
      <c r="GW115" s="178"/>
      <c r="GX115" s="178"/>
      <c r="GY115" s="178"/>
      <c r="GZ115" s="178"/>
      <c r="HA115" s="178"/>
      <c r="HB115" s="178"/>
      <c r="HC115" s="178"/>
      <c r="HD115" s="178"/>
      <c r="HE115" s="178"/>
      <c r="HF115" s="178"/>
      <c r="HG115" s="178"/>
      <c r="HH115" s="178"/>
      <c r="HI115" s="178"/>
      <c r="HJ115" s="178"/>
      <c r="HK115" s="178"/>
      <c r="HL115" s="178"/>
      <c r="HM115" s="178"/>
      <c r="HN115" s="178"/>
      <c r="HO115" s="178"/>
      <c r="HP115" s="178"/>
      <c r="HQ115" s="178"/>
      <c r="HR115" s="178"/>
      <c r="HS115" s="178"/>
      <c r="HT115" s="178"/>
      <c r="HU115" s="178"/>
      <c r="HV115" s="178"/>
      <c r="HW115" s="178"/>
      <c r="HX115" s="178"/>
      <c r="HY115" s="178"/>
      <c r="HZ115" s="178"/>
      <c r="IA115" s="178"/>
      <c r="IB115" s="178"/>
      <c r="IC115" s="178"/>
      <c r="ID115" s="178"/>
      <c r="IE115" s="178"/>
      <c r="IF115" s="178"/>
      <c r="IG115" s="178"/>
      <c r="IH115" s="178"/>
      <c r="II115" s="178"/>
      <c r="IJ115" s="178"/>
      <c r="IK115" s="178"/>
      <c r="IL115" s="178"/>
      <c r="IM115" s="178"/>
      <c r="IN115" s="178"/>
      <c r="IO115" s="178"/>
      <c r="IP115" s="178"/>
      <c r="IQ115" s="178"/>
      <c r="IR115" s="178"/>
      <c r="IS115" s="178"/>
      <c r="IT115" s="178"/>
    </row>
    <row r="116" spans="1:254" s="161" customFormat="1" hidden="1">
      <c r="A116" s="178"/>
      <c r="E116" s="159"/>
      <c r="F116" s="171">
        <f>Constants!U26</f>
        <v>16</v>
      </c>
      <c r="H116" s="121"/>
      <c r="I116" s="121"/>
      <c r="K116" s="175"/>
      <c r="L116" s="159"/>
      <c r="S116" s="159"/>
      <c r="T116" s="159"/>
      <c r="U116" s="159"/>
      <c r="V116" s="159"/>
      <c r="W116" s="159"/>
      <c r="X116" s="159"/>
      <c r="Y116" s="159"/>
      <c r="Z116" s="159"/>
      <c r="AA116" s="159"/>
      <c r="AB116" s="159"/>
      <c r="AC116" s="159"/>
      <c r="AD116" s="159"/>
      <c r="AE116" s="159"/>
      <c r="AF116" s="159"/>
      <c r="AG116" s="175"/>
      <c r="AH116" s="175"/>
      <c r="EB116" s="174"/>
      <c r="FH116" s="178"/>
      <c r="FI116" s="178"/>
      <c r="FJ116" s="178"/>
      <c r="FK116" s="178"/>
      <c r="FL116" s="178"/>
      <c r="FM116" s="178"/>
      <c r="FN116" s="178"/>
      <c r="FO116" s="178"/>
      <c r="FP116" s="178"/>
      <c r="FQ116" s="178"/>
      <c r="FR116" s="178"/>
      <c r="FS116" s="178"/>
      <c r="FT116" s="178"/>
      <c r="FU116" s="178"/>
      <c r="FV116" s="178"/>
      <c r="FW116" s="178"/>
      <c r="FX116" s="178"/>
      <c r="FY116" s="178"/>
      <c r="FZ116" s="178"/>
      <c r="GA116" s="178"/>
      <c r="GB116" s="178"/>
      <c r="GC116" s="178"/>
      <c r="GD116" s="178"/>
      <c r="GE116" s="178"/>
      <c r="GF116" s="178"/>
      <c r="GG116" s="178"/>
      <c r="GH116" s="178"/>
      <c r="GI116" s="178"/>
      <c r="GJ116" s="178"/>
      <c r="GK116" s="178"/>
      <c r="GL116" s="178"/>
      <c r="GM116" s="178"/>
      <c r="GN116" s="178"/>
      <c r="GO116" s="178"/>
      <c r="GP116" s="178"/>
      <c r="GQ116" s="178"/>
      <c r="GR116" s="178"/>
      <c r="GS116" s="178"/>
      <c r="GT116" s="178"/>
      <c r="GU116" s="178"/>
      <c r="GV116" s="178"/>
      <c r="GW116" s="178"/>
      <c r="GX116" s="178"/>
      <c r="GY116" s="178"/>
      <c r="GZ116" s="178"/>
      <c r="HA116" s="178"/>
      <c r="HB116" s="178"/>
      <c r="HC116" s="178"/>
      <c r="HD116" s="178"/>
      <c r="HE116" s="178"/>
      <c r="HF116" s="178"/>
      <c r="HG116" s="178"/>
      <c r="HH116" s="178"/>
      <c r="HI116" s="178"/>
      <c r="HJ116" s="178"/>
      <c r="HK116" s="178"/>
      <c r="HL116" s="178"/>
      <c r="HM116" s="178"/>
      <c r="HN116" s="178"/>
      <c r="HO116" s="178"/>
      <c r="HP116" s="178"/>
      <c r="HQ116" s="178"/>
      <c r="HR116" s="178"/>
      <c r="HS116" s="178"/>
      <c r="HT116" s="178"/>
      <c r="HU116" s="178"/>
      <c r="HV116" s="178"/>
      <c r="HW116" s="178"/>
      <c r="HX116" s="178"/>
      <c r="HY116" s="178"/>
      <c r="HZ116" s="178"/>
      <c r="IA116" s="178"/>
      <c r="IB116" s="178"/>
      <c r="IC116" s="178"/>
      <c r="ID116" s="178"/>
      <c r="IE116" s="178"/>
      <c r="IF116" s="178"/>
      <c r="IG116" s="178"/>
      <c r="IH116" s="178"/>
      <c r="II116" s="178"/>
      <c r="IJ116" s="178"/>
      <c r="IK116" s="178"/>
      <c r="IL116" s="178"/>
      <c r="IM116" s="178"/>
      <c r="IN116" s="178"/>
      <c r="IO116" s="178"/>
      <c r="IP116" s="178"/>
      <c r="IQ116" s="178"/>
      <c r="IR116" s="178"/>
      <c r="IS116" s="178"/>
      <c r="IT116" s="178"/>
    </row>
    <row r="117" spans="1:254" s="161" customFormat="1" hidden="1">
      <c r="A117" s="178"/>
      <c r="E117" s="159"/>
      <c r="F117" s="171">
        <f>Constants!U27</f>
        <v>18</v>
      </c>
      <c r="H117" s="121"/>
      <c r="I117" s="121"/>
      <c r="K117" s="175"/>
      <c r="L117" s="159"/>
      <c r="S117" s="159"/>
      <c r="T117" s="159"/>
      <c r="U117" s="159"/>
      <c r="V117" s="159"/>
      <c r="W117" s="159"/>
      <c r="X117" s="159"/>
      <c r="Y117" s="159"/>
      <c r="Z117" s="159"/>
      <c r="AA117" s="159"/>
      <c r="AB117" s="159"/>
      <c r="AC117" s="159"/>
      <c r="AD117" s="159"/>
      <c r="AE117" s="159"/>
      <c r="AF117" s="159"/>
      <c r="AG117" s="175"/>
      <c r="AH117" s="175"/>
      <c r="EB117" s="174"/>
      <c r="FH117" s="178"/>
      <c r="FI117" s="178"/>
      <c r="FJ117" s="178"/>
      <c r="FK117" s="178"/>
      <c r="FL117" s="178"/>
      <c r="FM117" s="178"/>
      <c r="FN117" s="178"/>
      <c r="FO117" s="178"/>
      <c r="FP117" s="178"/>
      <c r="FQ117" s="178"/>
      <c r="FR117" s="178"/>
      <c r="FS117" s="178"/>
      <c r="FT117" s="178"/>
      <c r="FU117" s="178"/>
      <c r="FV117" s="178"/>
      <c r="FW117" s="178"/>
      <c r="FX117" s="178"/>
      <c r="FY117" s="178"/>
      <c r="FZ117" s="178"/>
      <c r="GA117" s="178"/>
      <c r="GB117" s="178"/>
      <c r="GC117" s="178"/>
      <c r="GD117" s="178"/>
      <c r="GE117" s="178"/>
      <c r="GF117" s="178"/>
      <c r="GG117" s="178"/>
      <c r="GH117" s="178"/>
      <c r="GI117" s="178"/>
      <c r="GJ117" s="178"/>
      <c r="GK117" s="178"/>
      <c r="GL117" s="178"/>
      <c r="GM117" s="178"/>
      <c r="GN117" s="178"/>
      <c r="GO117" s="178"/>
      <c r="GP117" s="178"/>
      <c r="GQ117" s="178"/>
      <c r="GR117" s="178"/>
      <c r="GS117" s="178"/>
      <c r="GT117" s="178"/>
      <c r="GU117" s="178"/>
      <c r="GV117" s="178"/>
      <c r="GW117" s="178"/>
      <c r="GX117" s="178"/>
      <c r="GY117" s="178"/>
      <c r="GZ117" s="178"/>
      <c r="HA117" s="178"/>
      <c r="HB117" s="178"/>
      <c r="HC117" s="178"/>
      <c r="HD117" s="178"/>
      <c r="HE117" s="178"/>
      <c r="HF117" s="178"/>
      <c r="HG117" s="178"/>
      <c r="HH117" s="178"/>
      <c r="HI117" s="178"/>
      <c r="HJ117" s="178"/>
      <c r="HK117" s="178"/>
      <c r="HL117" s="178"/>
      <c r="HM117" s="178"/>
      <c r="HN117" s="178"/>
      <c r="HO117" s="178"/>
      <c r="HP117" s="178"/>
      <c r="HQ117" s="178"/>
      <c r="HR117" s="178"/>
      <c r="HS117" s="178"/>
      <c r="HT117" s="178"/>
      <c r="HU117" s="178"/>
      <c r="HV117" s="178"/>
      <c r="HW117" s="178"/>
      <c r="HX117" s="178"/>
      <c r="HY117" s="178"/>
      <c r="HZ117" s="178"/>
      <c r="IA117" s="178"/>
      <c r="IB117" s="178"/>
      <c r="IC117" s="178"/>
      <c r="ID117" s="178"/>
      <c r="IE117" s="178"/>
      <c r="IF117" s="178"/>
      <c r="IG117" s="178"/>
      <c r="IH117" s="178"/>
      <c r="II117" s="178"/>
      <c r="IJ117" s="178"/>
      <c r="IK117" s="178"/>
      <c r="IL117" s="178"/>
      <c r="IM117" s="178"/>
      <c r="IN117" s="178"/>
      <c r="IO117" s="178"/>
      <c r="IP117" s="178"/>
      <c r="IQ117" s="178"/>
      <c r="IR117" s="178"/>
      <c r="IS117" s="178"/>
      <c r="IT117" s="178"/>
    </row>
    <row r="118" spans="1:254" s="161" customFormat="1" hidden="1">
      <c r="A118" s="178"/>
      <c r="E118" s="159"/>
      <c r="F118" s="171">
        <f>Constants!U28</f>
        <v>20</v>
      </c>
      <c r="H118" s="121"/>
      <c r="I118" s="121"/>
      <c r="K118" s="175"/>
      <c r="L118" s="159"/>
      <c r="S118" s="159"/>
      <c r="T118" s="159"/>
      <c r="U118" s="159"/>
      <c r="V118" s="159"/>
      <c r="W118" s="159"/>
      <c r="X118" s="159"/>
      <c r="Y118" s="159"/>
      <c r="Z118" s="159"/>
      <c r="AA118" s="159"/>
      <c r="AB118" s="159"/>
      <c r="AC118" s="159"/>
      <c r="AD118" s="159"/>
      <c r="AE118" s="159"/>
      <c r="AF118" s="159"/>
      <c r="AG118" s="175"/>
      <c r="AH118" s="175"/>
      <c r="EB118" s="174"/>
      <c r="FH118" s="178"/>
      <c r="FI118" s="178"/>
      <c r="FJ118" s="178"/>
      <c r="FK118" s="178"/>
      <c r="FL118" s="178"/>
      <c r="FM118" s="178"/>
      <c r="FN118" s="178"/>
      <c r="FO118" s="178"/>
      <c r="FP118" s="178"/>
      <c r="FQ118" s="178"/>
      <c r="FR118" s="178"/>
      <c r="FS118" s="178"/>
      <c r="FT118" s="178"/>
      <c r="FU118" s="178"/>
      <c r="FV118" s="178"/>
      <c r="FW118" s="178"/>
      <c r="FX118" s="178"/>
      <c r="FY118" s="178"/>
      <c r="FZ118" s="178"/>
      <c r="GA118" s="178"/>
      <c r="GB118" s="178"/>
      <c r="GC118" s="178"/>
      <c r="GD118" s="178"/>
      <c r="GE118" s="178"/>
      <c r="GF118" s="178"/>
      <c r="GG118" s="178"/>
      <c r="GH118" s="178"/>
      <c r="GI118" s="178"/>
      <c r="GJ118" s="178"/>
      <c r="GK118" s="178"/>
      <c r="GL118" s="178"/>
      <c r="GM118" s="178"/>
      <c r="GN118" s="178"/>
      <c r="GO118" s="178"/>
      <c r="GP118" s="178"/>
      <c r="GQ118" s="178"/>
      <c r="GR118" s="178"/>
      <c r="GS118" s="178"/>
      <c r="GT118" s="178"/>
      <c r="GU118" s="178"/>
      <c r="GV118" s="178"/>
      <c r="GW118" s="178"/>
      <c r="GX118" s="178"/>
      <c r="GY118" s="178"/>
      <c r="GZ118" s="178"/>
      <c r="HA118" s="178"/>
      <c r="HB118" s="178"/>
      <c r="HC118" s="178"/>
      <c r="HD118" s="178"/>
      <c r="HE118" s="178"/>
      <c r="HF118" s="178"/>
      <c r="HG118" s="178"/>
      <c r="HH118" s="178"/>
      <c r="HI118" s="178"/>
      <c r="HJ118" s="178"/>
      <c r="HK118" s="178"/>
      <c r="HL118" s="178"/>
      <c r="HM118" s="178"/>
      <c r="HN118" s="178"/>
      <c r="HO118" s="178"/>
      <c r="HP118" s="178"/>
      <c r="HQ118" s="178"/>
      <c r="HR118" s="178"/>
      <c r="HS118" s="178"/>
      <c r="HT118" s="178"/>
      <c r="HU118" s="178"/>
      <c r="HV118" s="178"/>
      <c r="HW118" s="178"/>
      <c r="HX118" s="178"/>
      <c r="HY118" s="178"/>
      <c r="HZ118" s="178"/>
      <c r="IA118" s="178"/>
      <c r="IB118" s="178"/>
      <c r="IC118" s="178"/>
      <c r="ID118" s="178"/>
      <c r="IE118" s="178"/>
      <c r="IF118" s="178"/>
      <c r="IG118" s="178"/>
      <c r="IH118" s="178"/>
      <c r="II118" s="178"/>
      <c r="IJ118" s="178"/>
      <c r="IK118" s="178"/>
      <c r="IL118" s="178"/>
      <c r="IM118" s="178"/>
      <c r="IN118" s="178"/>
      <c r="IO118" s="178"/>
      <c r="IP118" s="178"/>
      <c r="IQ118" s="178"/>
      <c r="IR118" s="178"/>
      <c r="IS118" s="178"/>
      <c r="IT118" s="178"/>
    </row>
    <row r="119" spans="1:254" s="161" customFormat="1" hidden="1">
      <c r="A119" s="178"/>
      <c r="E119" s="159"/>
      <c r="F119" s="171">
        <f>Constants!U29</f>
        <v>24</v>
      </c>
      <c r="H119" s="121"/>
      <c r="I119" s="121"/>
      <c r="K119" s="175"/>
      <c r="L119" s="159"/>
      <c r="S119" s="159"/>
      <c r="T119" s="159"/>
      <c r="U119" s="159"/>
      <c r="V119" s="159"/>
      <c r="W119" s="159"/>
      <c r="X119" s="159"/>
      <c r="Y119" s="159"/>
      <c r="Z119" s="159"/>
      <c r="AA119" s="159"/>
      <c r="AB119" s="159"/>
      <c r="AC119" s="159"/>
      <c r="AD119" s="159"/>
      <c r="AE119" s="159"/>
      <c r="AF119" s="159"/>
      <c r="AG119" s="175"/>
      <c r="AH119" s="175"/>
      <c r="EB119" s="174"/>
      <c r="FH119" s="178"/>
      <c r="FI119" s="178"/>
      <c r="FJ119" s="178"/>
      <c r="FK119" s="178"/>
      <c r="FL119" s="178"/>
      <c r="FM119" s="178"/>
      <c r="FN119" s="178"/>
      <c r="FO119" s="178"/>
      <c r="FP119" s="178"/>
      <c r="FQ119" s="178"/>
      <c r="FR119" s="178"/>
      <c r="FS119" s="178"/>
      <c r="FT119" s="178"/>
      <c r="FU119" s="178"/>
      <c r="FV119" s="178"/>
      <c r="FW119" s="178"/>
      <c r="FX119" s="178"/>
      <c r="FY119" s="178"/>
      <c r="FZ119" s="178"/>
      <c r="GA119" s="178"/>
      <c r="GB119" s="178"/>
      <c r="GC119" s="178"/>
      <c r="GD119" s="178"/>
      <c r="GE119" s="178"/>
      <c r="GF119" s="178"/>
      <c r="GG119" s="178"/>
      <c r="GH119" s="178"/>
      <c r="GI119" s="178"/>
      <c r="GJ119" s="178"/>
      <c r="GK119" s="178"/>
      <c r="GL119" s="178"/>
      <c r="GM119" s="178"/>
      <c r="GN119" s="178"/>
      <c r="GO119" s="178"/>
      <c r="GP119" s="178"/>
      <c r="GQ119" s="178"/>
      <c r="GR119" s="178"/>
      <c r="GS119" s="178"/>
      <c r="GT119" s="178"/>
      <c r="GU119" s="178"/>
      <c r="GV119" s="178"/>
      <c r="GW119" s="178"/>
      <c r="GX119" s="178"/>
      <c r="GY119" s="178"/>
      <c r="GZ119" s="178"/>
      <c r="HA119" s="178"/>
      <c r="HB119" s="178"/>
      <c r="HC119" s="178"/>
      <c r="HD119" s="178"/>
      <c r="HE119" s="178"/>
      <c r="HF119" s="178"/>
      <c r="HG119" s="178"/>
      <c r="HH119" s="178"/>
      <c r="HI119" s="178"/>
      <c r="HJ119" s="178"/>
      <c r="HK119" s="178"/>
      <c r="HL119" s="178"/>
      <c r="HM119" s="178"/>
      <c r="HN119" s="178"/>
      <c r="HO119" s="178"/>
      <c r="HP119" s="178"/>
      <c r="HQ119" s="178"/>
      <c r="HR119" s="178"/>
      <c r="HS119" s="178"/>
      <c r="HT119" s="178"/>
      <c r="HU119" s="178"/>
      <c r="HV119" s="178"/>
      <c r="HW119" s="178"/>
      <c r="HX119" s="178"/>
      <c r="HY119" s="178"/>
      <c r="HZ119" s="178"/>
      <c r="IA119" s="178"/>
      <c r="IB119" s="178"/>
      <c r="IC119" s="178"/>
      <c r="ID119" s="178"/>
      <c r="IE119" s="178"/>
      <c r="IF119" s="178"/>
      <c r="IG119" s="178"/>
      <c r="IH119" s="178"/>
      <c r="II119" s="178"/>
      <c r="IJ119" s="178"/>
      <c r="IK119" s="178"/>
      <c r="IL119" s="178"/>
      <c r="IM119" s="178"/>
      <c r="IN119" s="178"/>
      <c r="IO119" s="178"/>
      <c r="IP119" s="178"/>
      <c r="IQ119" s="178"/>
      <c r="IR119" s="178"/>
      <c r="IS119" s="178"/>
      <c r="IT119" s="178"/>
    </row>
    <row r="120" spans="1:254" s="161" customFormat="1" hidden="1">
      <c r="A120" s="178"/>
      <c r="E120" s="159"/>
      <c r="F120" s="171">
        <f>Constants!U30</f>
        <v>26</v>
      </c>
      <c r="H120" s="121"/>
      <c r="I120" s="121"/>
      <c r="K120" s="175"/>
      <c r="L120" s="159"/>
      <c r="S120" s="159"/>
      <c r="T120" s="159"/>
      <c r="U120" s="159"/>
      <c r="V120" s="159"/>
      <c r="W120" s="159"/>
      <c r="X120" s="159"/>
      <c r="Y120" s="159"/>
      <c r="Z120" s="159"/>
      <c r="AA120" s="159"/>
      <c r="AB120" s="159"/>
      <c r="AC120" s="159"/>
      <c r="AD120" s="159"/>
      <c r="AE120" s="159"/>
      <c r="AF120" s="159"/>
      <c r="AG120" s="175"/>
      <c r="AH120" s="175"/>
      <c r="EB120" s="174"/>
      <c r="FH120" s="178"/>
      <c r="FI120" s="178"/>
      <c r="FJ120" s="178"/>
      <c r="FK120" s="178"/>
      <c r="FL120" s="178"/>
      <c r="FM120" s="178"/>
      <c r="FN120" s="178"/>
      <c r="FO120" s="178"/>
      <c r="FP120" s="178"/>
      <c r="FQ120" s="178"/>
      <c r="FR120" s="178"/>
      <c r="FS120" s="178"/>
      <c r="FT120" s="178"/>
      <c r="FU120" s="178"/>
      <c r="FV120" s="178"/>
      <c r="FW120" s="178"/>
      <c r="FX120" s="178"/>
      <c r="FY120" s="178"/>
      <c r="FZ120" s="178"/>
      <c r="GA120" s="178"/>
      <c r="GB120" s="178"/>
      <c r="GC120" s="178"/>
      <c r="GD120" s="178"/>
      <c r="GE120" s="178"/>
      <c r="GF120" s="178"/>
      <c r="GG120" s="178"/>
      <c r="GH120" s="178"/>
      <c r="GI120" s="178"/>
      <c r="GJ120" s="178"/>
      <c r="GK120" s="178"/>
      <c r="GL120" s="178"/>
      <c r="GM120" s="178"/>
      <c r="GN120" s="178"/>
      <c r="GO120" s="178"/>
      <c r="GP120" s="178"/>
      <c r="GQ120" s="178"/>
      <c r="GR120" s="178"/>
      <c r="GS120" s="178"/>
      <c r="GT120" s="178"/>
      <c r="GU120" s="178"/>
      <c r="GV120" s="178"/>
      <c r="GW120" s="178"/>
      <c r="GX120" s="178"/>
      <c r="GY120" s="178"/>
      <c r="GZ120" s="178"/>
      <c r="HA120" s="178"/>
      <c r="HB120" s="178"/>
      <c r="HC120" s="178"/>
      <c r="HD120" s="178"/>
      <c r="HE120" s="178"/>
      <c r="HF120" s="178"/>
      <c r="HG120" s="178"/>
      <c r="HH120" s="178"/>
      <c r="HI120" s="178"/>
      <c r="HJ120" s="178"/>
      <c r="HK120" s="178"/>
      <c r="HL120" s="178"/>
      <c r="HM120" s="178"/>
      <c r="HN120" s="178"/>
      <c r="HO120" s="178"/>
      <c r="HP120" s="178"/>
      <c r="HQ120" s="178"/>
      <c r="HR120" s="178"/>
      <c r="HS120" s="178"/>
      <c r="HT120" s="178"/>
      <c r="HU120" s="178"/>
      <c r="HV120" s="178"/>
      <c r="HW120" s="178"/>
      <c r="HX120" s="178"/>
      <c r="HY120" s="178"/>
      <c r="HZ120" s="178"/>
      <c r="IA120" s="178"/>
      <c r="IB120" s="178"/>
      <c r="IC120" s="178"/>
      <c r="ID120" s="178"/>
      <c r="IE120" s="178"/>
      <c r="IF120" s="178"/>
      <c r="IG120" s="178"/>
      <c r="IH120" s="178"/>
      <c r="II120" s="178"/>
      <c r="IJ120" s="178"/>
      <c r="IK120" s="178"/>
      <c r="IL120" s="178"/>
      <c r="IM120" s="178"/>
      <c r="IN120" s="178"/>
      <c r="IO120" s="178"/>
      <c r="IP120" s="178"/>
      <c r="IQ120" s="178"/>
      <c r="IR120" s="178"/>
      <c r="IS120" s="178"/>
      <c r="IT120" s="178"/>
    </row>
    <row r="121" spans="1:254" s="161" customFormat="1" hidden="1">
      <c r="A121" s="178"/>
      <c r="E121" s="159"/>
      <c r="F121" s="171">
        <f>Constants!U31</f>
        <v>30</v>
      </c>
      <c r="H121" s="121"/>
      <c r="I121" s="121"/>
      <c r="K121" s="175"/>
      <c r="L121" s="159"/>
      <c r="S121" s="159"/>
      <c r="T121" s="159"/>
      <c r="U121" s="159"/>
      <c r="V121" s="159"/>
      <c r="W121" s="159"/>
      <c r="X121" s="159"/>
      <c r="Y121" s="159"/>
      <c r="Z121" s="159"/>
      <c r="AA121" s="159"/>
      <c r="AB121" s="159"/>
      <c r="AC121" s="159"/>
      <c r="AD121" s="159"/>
      <c r="AE121" s="159"/>
      <c r="AF121" s="159"/>
      <c r="AG121" s="175"/>
      <c r="AH121" s="175"/>
      <c r="EB121" s="174"/>
      <c r="FH121" s="178"/>
      <c r="FI121" s="178"/>
      <c r="FJ121" s="178"/>
      <c r="FK121" s="178"/>
      <c r="FL121" s="178"/>
      <c r="FM121" s="178"/>
      <c r="FN121" s="178"/>
      <c r="FO121" s="178"/>
      <c r="FP121" s="178"/>
      <c r="FQ121" s="178"/>
      <c r="FR121" s="178"/>
      <c r="FS121" s="178"/>
      <c r="FT121" s="178"/>
      <c r="FU121" s="178"/>
      <c r="FV121" s="178"/>
      <c r="FW121" s="178"/>
      <c r="FX121" s="178"/>
      <c r="FY121" s="178"/>
      <c r="FZ121" s="178"/>
      <c r="GA121" s="178"/>
      <c r="GB121" s="178"/>
      <c r="GC121" s="178"/>
      <c r="GD121" s="178"/>
      <c r="GE121" s="178"/>
      <c r="GF121" s="178"/>
      <c r="GG121" s="178"/>
      <c r="GH121" s="178"/>
      <c r="GI121" s="178"/>
      <c r="GJ121" s="178"/>
      <c r="GK121" s="178"/>
      <c r="GL121" s="178"/>
      <c r="GM121" s="178"/>
      <c r="GN121" s="178"/>
      <c r="GO121" s="178"/>
      <c r="GP121" s="178"/>
      <c r="GQ121" s="178"/>
      <c r="GR121" s="178"/>
      <c r="GS121" s="178"/>
      <c r="GT121" s="178"/>
      <c r="GU121" s="178"/>
      <c r="GV121" s="178"/>
      <c r="GW121" s="178"/>
      <c r="GX121" s="178"/>
      <c r="GY121" s="178"/>
      <c r="GZ121" s="178"/>
      <c r="HA121" s="178"/>
      <c r="HB121" s="178"/>
      <c r="HC121" s="178"/>
      <c r="HD121" s="178"/>
      <c r="HE121" s="178"/>
      <c r="HF121" s="178"/>
      <c r="HG121" s="178"/>
      <c r="HH121" s="178"/>
      <c r="HI121" s="178"/>
      <c r="HJ121" s="178"/>
      <c r="HK121" s="178"/>
      <c r="HL121" s="178"/>
      <c r="HM121" s="178"/>
      <c r="HN121" s="178"/>
      <c r="HO121" s="178"/>
      <c r="HP121" s="178"/>
      <c r="HQ121" s="178"/>
      <c r="HR121" s="178"/>
      <c r="HS121" s="178"/>
      <c r="HT121" s="178"/>
      <c r="HU121" s="178"/>
      <c r="HV121" s="178"/>
      <c r="HW121" s="178"/>
      <c r="HX121" s="178"/>
      <c r="HY121" s="178"/>
      <c r="HZ121" s="178"/>
      <c r="IA121" s="178"/>
      <c r="IB121" s="178"/>
      <c r="IC121" s="178"/>
      <c r="ID121" s="178"/>
      <c r="IE121" s="178"/>
      <c r="IF121" s="178"/>
      <c r="IG121" s="178"/>
      <c r="IH121" s="178"/>
      <c r="II121" s="178"/>
      <c r="IJ121" s="178"/>
      <c r="IK121" s="178"/>
      <c r="IL121" s="178"/>
      <c r="IM121" s="178"/>
      <c r="IN121" s="178"/>
      <c r="IO121" s="178"/>
      <c r="IP121" s="178"/>
      <c r="IQ121" s="178"/>
      <c r="IR121" s="178"/>
      <c r="IS121" s="178"/>
      <c r="IT121" s="178"/>
    </row>
    <row r="122" spans="1:254" s="161" customFormat="1" hidden="1">
      <c r="A122" s="178"/>
      <c r="E122" s="159"/>
      <c r="H122" s="121"/>
      <c r="I122" s="121"/>
      <c r="K122" s="175"/>
      <c r="L122" s="159"/>
      <c r="S122" s="159"/>
      <c r="T122" s="159"/>
      <c r="U122" s="159"/>
      <c r="V122" s="159"/>
      <c r="W122" s="159"/>
      <c r="X122" s="159"/>
      <c r="Y122" s="159"/>
      <c r="Z122" s="159"/>
      <c r="AA122" s="159"/>
      <c r="AB122" s="159"/>
      <c r="AC122" s="159"/>
      <c r="AD122" s="159"/>
      <c r="AE122" s="159"/>
      <c r="AF122" s="159"/>
      <c r="AG122" s="175"/>
      <c r="AH122" s="175"/>
      <c r="EB122" s="174"/>
      <c r="FH122" s="178"/>
      <c r="FI122" s="178"/>
      <c r="FJ122" s="178"/>
      <c r="FK122" s="178"/>
      <c r="FL122" s="178"/>
      <c r="FM122" s="178"/>
      <c r="FN122" s="178"/>
      <c r="FO122" s="178"/>
      <c r="FP122" s="178"/>
      <c r="FQ122" s="178"/>
      <c r="FR122" s="178"/>
      <c r="FS122" s="178"/>
      <c r="FT122" s="178"/>
      <c r="FU122" s="178"/>
      <c r="FV122" s="178"/>
      <c r="FW122" s="178"/>
      <c r="FX122" s="178"/>
      <c r="FY122" s="178"/>
      <c r="FZ122" s="178"/>
      <c r="GA122" s="178"/>
      <c r="GB122" s="178"/>
      <c r="GC122" s="178"/>
      <c r="GD122" s="178"/>
      <c r="GE122" s="178"/>
      <c r="GF122" s="178"/>
      <c r="GG122" s="178"/>
      <c r="GH122" s="178"/>
      <c r="GI122" s="178"/>
      <c r="GJ122" s="178"/>
      <c r="GK122" s="178"/>
      <c r="GL122" s="178"/>
      <c r="GM122" s="178"/>
      <c r="GN122" s="178"/>
      <c r="GO122" s="178"/>
      <c r="GP122" s="178"/>
      <c r="GQ122" s="178"/>
      <c r="GR122" s="178"/>
      <c r="GS122" s="178"/>
      <c r="GT122" s="178"/>
      <c r="GU122" s="178"/>
      <c r="GV122" s="178"/>
      <c r="GW122" s="178"/>
      <c r="GX122" s="178"/>
      <c r="GY122" s="178"/>
      <c r="GZ122" s="178"/>
      <c r="HA122" s="178"/>
      <c r="HB122" s="178"/>
      <c r="HC122" s="178"/>
      <c r="HD122" s="178"/>
      <c r="HE122" s="178"/>
      <c r="HF122" s="178"/>
      <c r="HG122" s="178"/>
      <c r="HH122" s="178"/>
      <c r="HI122" s="178"/>
      <c r="HJ122" s="178"/>
      <c r="HK122" s="178"/>
      <c r="HL122" s="178"/>
      <c r="HM122" s="178"/>
      <c r="HN122" s="178"/>
      <c r="HO122" s="178"/>
      <c r="HP122" s="178"/>
      <c r="HQ122" s="178"/>
      <c r="HR122" s="178"/>
      <c r="HS122" s="178"/>
      <c r="HT122" s="178"/>
      <c r="HU122" s="178"/>
      <c r="HV122" s="178"/>
      <c r="HW122" s="178"/>
      <c r="HX122" s="178"/>
      <c r="HY122" s="178"/>
      <c r="HZ122" s="178"/>
      <c r="IA122" s="178"/>
      <c r="IB122" s="178"/>
      <c r="IC122" s="178"/>
      <c r="ID122" s="178"/>
      <c r="IE122" s="178"/>
      <c r="IF122" s="178"/>
      <c r="IG122" s="178"/>
      <c r="IH122" s="178"/>
      <c r="II122" s="178"/>
      <c r="IJ122" s="178"/>
      <c r="IK122" s="178"/>
      <c r="IL122" s="178"/>
      <c r="IM122" s="178"/>
      <c r="IN122" s="178"/>
      <c r="IO122" s="178"/>
      <c r="IP122" s="178"/>
      <c r="IQ122" s="178"/>
      <c r="IR122" s="178"/>
      <c r="IS122" s="178"/>
      <c r="IT122" s="178"/>
    </row>
    <row r="123" spans="1:254">
      <c r="A123" s="178"/>
      <c r="B123" s="161"/>
      <c r="C123" s="161"/>
      <c r="D123" s="161"/>
      <c r="E123" s="159"/>
      <c r="F123" s="161"/>
      <c r="G123" s="171"/>
      <c r="H123" s="122"/>
      <c r="I123" s="122"/>
      <c r="J123" s="161"/>
      <c r="K123" s="175"/>
      <c r="L123" s="159"/>
      <c r="M123" s="161"/>
      <c r="N123" s="161"/>
      <c r="O123" s="161"/>
      <c r="P123" s="161"/>
      <c r="Q123" s="161"/>
      <c r="R123" s="161"/>
      <c r="S123" s="159"/>
      <c r="T123" s="159"/>
      <c r="U123" s="159"/>
      <c r="V123" s="159"/>
      <c r="W123" s="159"/>
      <c r="X123" s="159"/>
      <c r="Y123" s="159"/>
      <c r="Z123" s="159"/>
      <c r="AA123" s="159"/>
      <c r="AB123" s="159"/>
      <c r="AC123" s="159"/>
      <c r="AD123" s="159"/>
      <c r="AE123" s="159"/>
      <c r="AF123" s="159"/>
      <c r="AG123" s="175"/>
      <c r="AH123" s="175"/>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c r="CE123" s="161"/>
      <c r="CF123" s="161"/>
      <c r="CG123" s="161"/>
      <c r="CH123" s="161"/>
      <c r="CI123" s="161"/>
      <c r="CJ123" s="161"/>
      <c r="CK123" s="161"/>
      <c r="CL123" s="161"/>
      <c r="CM123" s="161"/>
      <c r="CN123" s="161"/>
      <c r="CO123" s="161"/>
      <c r="CP123" s="161"/>
      <c r="CQ123" s="161"/>
      <c r="CR123" s="161"/>
      <c r="CS123" s="161"/>
      <c r="CT123" s="161"/>
      <c r="CU123" s="161"/>
      <c r="CV123" s="161"/>
      <c r="CW123" s="161"/>
      <c r="CX123" s="161"/>
      <c r="CY123" s="161"/>
      <c r="CZ123" s="161"/>
      <c r="DA123" s="161"/>
      <c r="DB123" s="161"/>
      <c r="DC123" s="161"/>
      <c r="DD123" s="161"/>
      <c r="DE123" s="161"/>
      <c r="DF123" s="161"/>
      <c r="DG123" s="161"/>
      <c r="DH123" s="161"/>
      <c r="DI123" s="161"/>
      <c r="DJ123" s="161"/>
      <c r="DK123" s="161"/>
      <c r="DL123" s="161"/>
      <c r="DM123" s="161"/>
      <c r="DN123" s="161"/>
      <c r="DO123" s="161"/>
      <c r="DP123" s="161"/>
      <c r="DQ123" s="161"/>
      <c r="DR123" s="161"/>
      <c r="DS123" s="161"/>
      <c r="DT123" s="161"/>
      <c r="DU123" s="161"/>
      <c r="DV123" s="161"/>
      <c r="DW123" s="161"/>
      <c r="DX123" s="161"/>
      <c r="DY123" s="161"/>
      <c r="DZ123" s="161"/>
      <c r="EA123" s="161"/>
      <c r="EB123" s="174"/>
      <c r="EC123" s="161"/>
      <c r="ED123" s="161"/>
      <c r="EE123" s="161"/>
      <c r="EF123" s="161"/>
      <c r="EG123" s="161"/>
      <c r="EH123" s="161"/>
      <c r="EI123" s="161"/>
      <c r="EJ123" s="161"/>
      <c r="EK123" s="161"/>
      <c r="EL123" s="161"/>
      <c r="EM123" s="161"/>
      <c r="EN123" s="161"/>
      <c r="EO123" s="161"/>
      <c r="EP123" s="161"/>
      <c r="EQ123" s="161"/>
      <c r="ER123" s="161"/>
      <c r="ES123" s="161"/>
      <c r="ET123" s="161"/>
      <c r="EU123" s="161"/>
      <c r="EV123" s="161"/>
      <c r="EW123" s="161"/>
      <c r="EX123" s="161"/>
      <c r="EY123" s="161"/>
      <c r="EZ123" s="161"/>
      <c r="FA123" s="161"/>
      <c r="FB123" s="161"/>
      <c r="FC123" s="161"/>
      <c r="FD123" s="161"/>
      <c r="FE123" s="161"/>
      <c r="FF123" s="161"/>
      <c r="FG123" s="161"/>
      <c r="FH123" s="178"/>
      <c r="FI123" s="178"/>
      <c r="FJ123" s="178"/>
      <c r="FK123" s="178"/>
      <c r="FL123" s="178"/>
      <c r="FM123" s="178"/>
      <c r="FN123" s="178"/>
      <c r="FO123" s="178"/>
      <c r="FP123" s="178"/>
      <c r="FQ123" s="178"/>
      <c r="FR123" s="178"/>
      <c r="FS123" s="178"/>
      <c r="FT123" s="178"/>
      <c r="FU123" s="178"/>
      <c r="FV123" s="178"/>
      <c r="FW123" s="178"/>
    </row>
    <row r="124" spans="1:254">
      <c r="A124" s="178"/>
      <c r="B124" s="161"/>
      <c r="C124" s="161"/>
      <c r="D124" s="161"/>
      <c r="E124" s="159"/>
      <c r="F124" s="161"/>
      <c r="G124" s="171"/>
      <c r="H124" s="122"/>
      <c r="I124" s="122"/>
      <c r="J124" s="161"/>
      <c r="K124" s="175"/>
      <c r="L124" s="159"/>
      <c r="M124" s="161"/>
      <c r="N124" s="161"/>
      <c r="O124" s="161"/>
      <c r="P124" s="161"/>
      <c r="Q124" s="161"/>
      <c r="R124" s="161"/>
      <c r="S124" s="159"/>
      <c r="T124" s="159"/>
      <c r="U124" s="159"/>
      <c r="V124" s="159"/>
      <c r="W124" s="159"/>
      <c r="X124" s="159"/>
      <c r="Y124" s="159"/>
      <c r="Z124" s="159"/>
      <c r="AA124" s="159"/>
      <c r="AB124" s="159"/>
      <c r="AC124" s="159"/>
      <c r="AD124" s="159"/>
      <c r="AE124" s="159"/>
      <c r="AF124" s="159"/>
      <c r="AG124" s="175"/>
      <c r="AH124" s="175"/>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c r="BN124" s="161"/>
      <c r="BO124" s="161"/>
      <c r="BP124" s="161"/>
      <c r="BQ124" s="161"/>
      <c r="BR124" s="161"/>
      <c r="BS124" s="161"/>
      <c r="BT124" s="161"/>
      <c r="BU124" s="161"/>
      <c r="BV124" s="161"/>
      <c r="BW124" s="161"/>
      <c r="BX124" s="161"/>
      <c r="BY124" s="161"/>
      <c r="BZ124" s="161"/>
      <c r="CA124" s="161"/>
      <c r="CB124" s="161"/>
      <c r="CC124" s="161"/>
      <c r="CD124" s="161"/>
      <c r="CE124" s="161"/>
      <c r="CF124" s="161"/>
      <c r="CG124" s="161"/>
      <c r="CH124" s="161"/>
      <c r="CI124" s="161"/>
      <c r="CJ124" s="161"/>
      <c r="CK124" s="161"/>
      <c r="CL124" s="161"/>
      <c r="CM124" s="161"/>
      <c r="CN124" s="161"/>
      <c r="CO124" s="161"/>
      <c r="CP124" s="161"/>
      <c r="CQ124" s="161"/>
      <c r="CR124" s="161"/>
      <c r="CS124" s="161"/>
      <c r="CT124" s="161"/>
      <c r="CU124" s="161"/>
      <c r="CV124" s="161"/>
      <c r="CW124" s="161"/>
      <c r="CX124" s="161"/>
      <c r="CY124" s="161"/>
      <c r="CZ124" s="161"/>
      <c r="DA124" s="161"/>
      <c r="DB124" s="161"/>
      <c r="DC124" s="161"/>
      <c r="DD124" s="161"/>
      <c r="DE124" s="161"/>
      <c r="DF124" s="161"/>
      <c r="DG124" s="161"/>
      <c r="DH124" s="161"/>
      <c r="DI124" s="161"/>
      <c r="DJ124" s="161"/>
      <c r="DK124" s="161"/>
      <c r="DL124" s="161"/>
      <c r="DM124" s="161"/>
      <c r="DN124" s="161"/>
      <c r="DO124" s="161"/>
      <c r="DP124" s="161"/>
      <c r="DQ124" s="161"/>
      <c r="DR124" s="161"/>
      <c r="DS124" s="161"/>
      <c r="DT124" s="161"/>
      <c r="DU124" s="161"/>
      <c r="DV124" s="161"/>
      <c r="DW124" s="161"/>
      <c r="DX124" s="161"/>
      <c r="DY124" s="161"/>
      <c r="DZ124" s="161"/>
      <c r="EA124" s="161"/>
      <c r="EB124" s="174"/>
      <c r="EC124" s="161"/>
      <c r="ED124" s="161"/>
      <c r="EE124" s="161"/>
      <c r="EF124" s="161"/>
      <c r="EG124" s="161"/>
      <c r="EH124" s="161"/>
      <c r="EI124" s="161"/>
      <c r="EJ124" s="161"/>
      <c r="EK124" s="161"/>
      <c r="EL124" s="161"/>
      <c r="EM124" s="161"/>
      <c r="EN124" s="161"/>
      <c r="EO124" s="161"/>
      <c r="EP124" s="161"/>
      <c r="EQ124" s="161"/>
      <c r="ER124" s="161"/>
      <c r="ES124" s="161"/>
      <c r="ET124" s="161"/>
      <c r="EU124" s="161"/>
      <c r="EV124" s="161"/>
      <c r="EW124" s="161"/>
      <c r="EX124" s="161"/>
      <c r="EY124" s="161"/>
      <c r="EZ124" s="161"/>
      <c r="FA124" s="161"/>
      <c r="FB124" s="161"/>
      <c r="FC124" s="161"/>
      <c r="FD124" s="161"/>
      <c r="FE124" s="161"/>
      <c r="FF124" s="161"/>
      <c r="FG124" s="161"/>
      <c r="FH124" s="178"/>
      <c r="FI124" s="178"/>
      <c r="FJ124" s="178"/>
      <c r="FK124" s="178"/>
      <c r="FL124" s="178"/>
      <c r="FM124" s="178"/>
      <c r="FN124" s="178"/>
      <c r="FO124" s="178"/>
      <c r="FP124" s="178"/>
      <c r="FQ124" s="178"/>
      <c r="FR124" s="178"/>
      <c r="FS124" s="178"/>
      <c r="FT124" s="178"/>
      <c r="FU124" s="178"/>
      <c r="FV124" s="178"/>
      <c r="FW124" s="178"/>
    </row>
    <row r="125" spans="1:254">
      <c r="A125" s="178"/>
      <c r="B125" s="161"/>
      <c r="C125" s="161"/>
      <c r="D125" s="161"/>
      <c r="E125" s="159"/>
      <c r="F125" s="161"/>
      <c r="G125" s="171"/>
      <c r="H125" s="122"/>
      <c r="I125" s="122"/>
      <c r="J125" s="161"/>
      <c r="K125" s="175"/>
      <c r="L125" s="159"/>
      <c r="M125" s="161"/>
      <c r="N125" s="161"/>
      <c r="O125" s="161"/>
      <c r="P125" s="161"/>
      <c r="Q125" s="161"/>
      <c r="R125" s="161"/>
      <c r="S125" s="159"/>
      <c r="T125" s="159"/>
      <c r="U125" s="159"/>
      <c r="V125" s="159"/>
      <c r="W125" s="159"/>
      <c r="X125" s="159"/>
      <c r="Y125" s="159"/>
      <c r="Z125" s="159"/>
      <c r="AA125" s="159"/>
      <c r="AB125" s="159"/>
      <c r="AC125" s="159"/>
      <c r="AD125" s="159"/>
      <c r="AE125" s="159"/>
      <c r="AF125" s="159"/>
      <c r="AG125" s="175"/>
      <c r="AH125" s="175"/>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c r="CA125" s="161"/>
      <c r="CB125" s="161"/>
      <c r="CC125" s="161"/>
      <c r="CD125" s="161"/>
      <c r="CE125" s="161"/>
      <c r="CF125" s="161"/>
      <c r="CG125" s="161"/>
      <c r="CH125" s="161"/>
      <c r="CI125" s="161"/>
      <c r="CJ125" s="161"/>
      <c r="CK125" s="161"/>
      <c r="CL125" s="161"/>
      <c r="CM125" s="161"/>
      <c r="CN125" s="161"/>
      <c r="CO125" s="161"/>
      <c r="CP125" s="161"/>
      <c r="CQ125" s="161"/>
      <c r="CR125" s="161"/>
      <c r="CS125" s="161"/>
      <c r="CT125" s="161"/>
      <c r="CU125" s="161"/>
      <c r="CV125" s="161"/>
      <c r="CW125" s="161"/>
      <c r="CX125" s="161"/>
      <c r="CY125" s="161"/>
      <c r="CZ125" s="161"/>
      <c r="DA125" s="161"/>
      <c r="DB125" s="161"/>
      <c r="DC125" s="161"/>
      <c r="DD125" s="161"/>
      <c r="DE125" s="161"/>
      <c r="DF125" s="161"/>
      <c r="DG125" s="161"/>
      <c r="DH125" s="161"/>
      <c r="DI125" s="161"/>
      <c r="DJ125" s="161"/>
      <c r="DK125" s="161"/>
      <c r="DL125" s="161"/>
      <c r="DM125" s="161"/>
      <c r="DN125" s="161"/>
      <c r="DO125" s="161"/>
      <c r="DP125" s="161"/>
      <c r="DQ125" s="161"/>
      <c r="DR125" s="161"/>
      <c r="DS125" s="161"/>
      <c r="DT125" s="161"/>
      <c r="DU125" s="161"/>
      <c r="DV125" s="161"/>
      <c r="DW125" s="161"/>
      <c r="DX125" s="161"/>
      <c r="DY125" s="161"/>
      <c r="DZ125" s="161"/>
      <c r="EA125" s="161"/>
      <c r="EB125" s="174"/>
      <c r="EC125" s="161"/>
      <c r="ED125" s="161"/>
      <c r="EE125" s="161"/>
      <c r="EF125" s="161"/>
      <c r="EG125" s="161"/>
      <c r="EH125" s="161"/>
      <c r="EI125" s="161"/>
      <c r="EJ125" s="161"/>
      <c r="EK125" s="161"/>
      <c r="EL125" s="161"/>
      <c r="EM125" s="161"/>
      <c r="EN125" s="161"/>
      <c r="EO125" s="161"/>
      <c r="EP125" s="161"/>
      <c r="EQ125" s="161"/>
      <c r="ER125" s="161"/>
      <c r="ES125" s="161"/>
      <c r="ET125" s="161"/>
      <c r="EU125" s="161"/>
      <c r="EV125" s="161"/>
      <c r="EW125" s="161"/>
      <c r="EX125" s="161"/>
      <c r="EY125" s="161"/>
      <c r="EZ125" s="161"/>
      <c r="FA125" s="161"/>
      <c r="FB125" s="161"/>
      <c r="FC125" s="161"/>
      <c r="FD125" s="161"/>
      <c r="FE125" s="161"/>
      <c r="FF125" s="161"/>
      <c r="FG125" s="161"/>
      <c r="FH125" s="178"/>
      <c r="FI125" s="178"/>
      <c r="FJ125" s="178"/>
      <c r="FK125" s="178"/>
      <c r="FL125" s="178"/>
      <c r="FM125" s="178"/>
      <c r="FN125" s="178"/>
      <c r="FO125" s="178"/>
      <c r="FP125" s="178"/>
      <c r="FQ125" s="178"/>
      <c r="FR125" s="178"/>
      <c r="FS125" s="178"/>
      <c r="FT125" s="178"/>
      <c r="FU125" s="178"/>
      <c r="FV125" s="178"/>
      <c r="FW125" s="178"/>
    </row>
    <row r="126" spans="1:254">
      <c r="A126" s="178"/>
      <c r="B126" s="161"/>
      <c r="C126" s="161"/>
      <c r="D126" s="161"/>
      <c r="E126" s="159"/>
      <c r="F126" s="161"/>
      <c r="G126" s="161"/>
      <c r="J126" s="161"/>
      <c r="K126" s="175"/>
      <c r="L126" s="159"/>
      <c r="M126" s="161"/>
      <c r="N126" s="161"/>
      <c r="O126" s="161"/>
      <c r="P126" s="161"/>
      <c r="Q126" s="161"/>
      <c r="R126" s="161"/>
      <c r="S126" s="159"/>
      <c r="T126" s="159"/>
      <c r="U126" s="159"/>
      <c r="V126" s="159"/>
      <c r="W126" s="159"/>
      <c r="X126" s="159"/>
      <c r="Y126" s="159"/>
      <c r="Z126" s="159"/>
      <c r="AA126" s="159"/>
      <c r="AB126" s="159"/>
      <c r="AC126" s="159"/>
      <c r="AD126" s="159"/>
      <c r="AE126" s="159"/>
      <c r="AF126" s="159"/>
      <c r="AG126" s="175"/>
      <c r="AH126" s="175"/>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61"/>
      <c r="BT126" s="161"/>
      <c r="BU126" s="161"/>
      <c r="BV126" s="161"/>
      <c r="BW126" s="161"/>
      <c r="BX126" s="161"/>
      <c r="BY126" s="161"/>
      <c r="BZ126" s="161"/>
      <c r="CA126" s="161"/>
      <c r="CB126" s="161"/>
      <c r="CC126" s="161"/>
      <c r="CD126" s="161"/>
      <c r="CE126" s="161"/>
      <c r="CF126" s="161"/>
      <c r="CG126" s="161"/>
      <c r="CH126" s="161"/>
      <c r="CI126" s="161"/>
      <c r="CJ126" s="161"/>
      <c r="CK126" s="161"/>
      <c r="CL126" s="161"/>
      <c r="CM126" s="161"/>
      <c r="CN126" s="161"/>
      <c r="CO126" s="161"/>
      <c r="CP126" s="161"/>
      <c r="CQ126" s="161"/>
      <c r="CR126" s="161"/>
      <c r="CS126" s="161"/>
      <c r="CT126" s="161"/>
      <c r="CU126" s="161"/>
      <c r="CV126" s="161"/>
      <c r="CW126" s="161"/>
      <c r="CX126" s="161"/>
      <c r="CY126" s="161"/>
      <c r="CZ126" s="161"/>
      <c r="DA126" s="161"/>
      <c r="DB126" s="161"/>
      <c r="DC126" s="161"/>
      <c r="DD126" s="161"/>
      <c r="DE126" s="161"/>
      <c r="DF126" s="161"/>
      <c r="DG126" s="161"/>
      <c r="DH126" s="161"/>
      <c r="DI126" s="161"/>
      <c r="DJ126" s="161"/>
      <c r="DK126" s="161"/>
      <c r="DL126" s="161"/>
      <c r="DM126" s="161"/>
      <c r="DN126" s="161"/>
      <c r="DO126" s="161"/>
      <c r="DP126" s="161"/>
      <c r="DQ126" s="161"/>
      <c r="DR126" s="161"/>
      <c r="DS126" s="161"/>
      <c r="DT126" s="161"/>
      <c r="DU126" s="161"/>
      <c r="DV126" s="161"/>
      <c r="DW126" s="161"/>
      <c r="DX126" s="161"/>
      <c r="DY126" s="161"/>
      <c r="DZ126" s="161"/>
      <c r="EA126" s="161"/>
      <c r="EB126" s="174"/>
      <c r="EC126" s="161"/>
      <c r="ED126" s="161"/>
      <c r="EE126" s="161"/>
      <c r="EF126" s="161"/>
      <c r="EG126" s="161"/>
      <c r="EH126" s="161"/>
      <c r="EI126" s="161"/>
      <c r="EJ126" s="161"/>
      <c r="EK126" s="161"/>
      <c r="EL126" s="161"/>
      <c r="EM126" s="161"/>
      <c r="EN126" s="161"/>
      <c r="EO126" s="161"/>
      <c r="EP126" s="161"/>
      <c r="EQ126" s="161"/>
      <c r="ER126" s="161"/>
      <c r="ES126" s="161"/>
      <c r="ET126" s="161"/>
      <c r="EU126" s="161"/>
      <c r="EV126" s="161"/>
      <c r="EW126" s="161"/>
      <c r="EX126" s="161"/>
      <c r="EY126" s="161"/>
      <c r="EZ126" s="161"/>
      <c r="FA126" s="161"/>
      <c r="FB126" s="161"/>
      <c r="FC126" s="161"/>
      <c r="FD126" s="161"/>
      <c r="FE126" s="161"/>
      <c r="FF126" s="161"/>
      <c r="FG126" s="161"/>
      <c r="FH126" s="178"/>
      <c r="FI126" s="178"/>
      <c r="FJ126" s="178"/>
      <c r="FK126" s="178"/>
      <c r="FL126" s="178"/>
      <c r="FM126" s="178"/>
      <c r="FN126" s="178"/>
      <c r="FO126" s="178"/>
      <c r="FP126" s="178"/>
      <c r="FQ126" s="178"/>
      <c r="FR126" s="178"/>
      <c r="FS126" s="178"/>
      <c r="FT126" s="178"/>
      <c r="FU126" s="178"/>
      <c r="FV126" s="178"/>
      <c r="FW126" s="178"/>
    </row>
    <row r="127" spans="1:254">
      <c r="A127" s="178"/>
      <c r="B127" s="161"/>
      <c r="C127" s="161"/>
      <c r="D127" s="161"/>
      <c r="E127" s="159"/>
      <c r="F127" s="161"/>
      <c r="G127" s="161"/>
      <c r="J127" s="161"/>
      <c r="K127" s="175"/>
      <c r="L127" s="159"/>
      <c r="M127" s="161"/>
      <c r="N127" s="161"/>
      <c r="O127" s="161"/>
      <c r="P127" s="161"/>
      <c r="Q127" s="161"/>
      <c r="R127" s="161"/>
      <c r="S127" s="159"/>
      <c r="T127" s="159"/>
      <c r="U127" s="159"/>
      <c r="V127" s="159"/>
      <c r="W127" s="159"/>
      <c r="X127" s="159"/>
      <c r="Y127" s="159"/>
      <c r="Z127" s="159"/>
      <c r="AA127" s="159"/>
      <c r="AB127" s="159"/>
      <c r="AC127" s="159"/>
      <c r="AD127" s="159"/>
      <c r="AE127" s="159"/>
      <c r="AF127" s="159"/>
      <c r="AG127" s="175"/>
      <c r="AH127" s="175"/>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c r="BY127" s="161"/>
      <c r="BZ127" s="161"/>
      <c r="CA127" s="161"/>
      <c r="CB127" s="161"/>
      <c r="CC127" s="161"/>
      <c r="CD127" s="161"/>
      <c r="CE127" s="161"/>
      <c r="CF127" s="161"/>
      <c r="CG127" s="161"/>
      <c r="CH127" s="161"/>
      <c r="CI127" s="161"/>
      <c r="CJ127" s="161"/>
      <c r="CK127" s="161"/>
      <c r="CL127" s="161"/>
      <c r="CM127" s="161"/>
      <c r="CN127" s="161"/>
      <c r="CO127" s="161"/>
      <c r="CP127" s="161"/>
      <c r="CQ127" s="161"/>
      <c r="CR127" s="161"/>
      <c r="CS127" s="161"/>
      <c r="CT127" s="161"/>
      <c r="CU127" s="161"/>
      <c r="CV127" s="161"/>
      <c r="CW127" s="161"/>
      <c r="CX127" s="161"/>
      <c r="CY127" s="161"/>
      <c r="CZ127" s="161"/>
      <c r="DA127" s="161"/>
      <c r="DB127" s="161"/>
      <c r="DC127" s="161"/>
      <c r="DD127" s="161"/>
      <c r="DE127" s="161"/>
      <c r="DF127" s="161"/>
      <c r="DG127" s="161"/>
      <c r="DH127" s="161"/>
      <c r="DI127" s="161"/>
      <c r="DJ127" s="161"/>
      <c r="DK127" s="161"/>
      <c r="DL127" s="161"/>
      <c r="DM127" s="161"/>
      <c r="DN127" s="161"/>
      <c r="DO127" s="161"/>
      <c r="DP127" s="161"/>
      <c r="DQ127" s="161"/>
      <c r="DR127" s="161"/>
      <c r="DS127" s="161"/>
      <c r="DT127" s="161"/>
      <c r="DU127" s="161"/>
      <c r="DV127" s="161"/>
      <c r="DW127" s="161"/>
      <c r="DX127" s="161"/>
      <c r="DY127" s="161"/>
      <c r="DZ127" s="161"/>
      <c r="EA127" s="161"/>
      <c r="EB127" s="174"/>
      <c r="EC127" s="161"/>
      <c r="ED127" s="161"/>
      <c r="EE127" s="161"/>
      <c r="EF127" s="161"/>
      <c r="EG127" s="161"/>
      <c r="EH127" s="161"/>
      <c r="EI127" s="161"/>
      <c r="EJ127" s="161"/>
      <c r="EK127" s="161"/>
      <c r="EL127" s="161"/>
      <c r="EM127" s="161"/>
      <c r="EN127" s="161"/>
      <c r="EO127" s="161"/>
      <c r="EP127" s="161"/>
      <c r="EQ127" s="161"/>
      <c r="ER127" s="161"/>
      <c r="ES127" s="161"/>
      <c r="ET127" s="161"/>
      <c r="EU127" s="161"/>
      <c r="EV127" s="161"/>
      <c r="EW127" s="161"/>
      <c r="EX127" s="161"/>
      <c r="EY127" s="161"/>
      <c r="EZ127" s="161"/>
      <c r="FA127" s="161"/>
      <c r="FB127" s="161"/>
      <c r="FC127" s="161"/>
      <c r="FD127" s="161"/>
      <c r="FE127" s="161"/>
      <c r="FF127" s="161"/>
      <c r="FG127" s="161"/>
      <c r="FH127" s="178"/>
      <c r="FI127" s="178"/>
      <c r="FJ127" s="178"/>
      <c r="FK127" s="178"/>
      <c r="FL127" s="178"/>
      <c r="FM127" s="178"/>
      <c r="FN127" s="178"/>
      <c r="FO127" s="178"/>
      <c r="FP127" s="178"/>
      <c r="FQ127" s="178"/>
      <c r="FR127" s="178"/>
      <c r="FS127" s="178"/>
      <c r="FT127" s="178"/>
      <c r="FU127" s="178"/>
      <c r="FV127" s="178"/>
      <c r="FW127" s="178"/>
    </row>
    <row r="128" spans="1:254">
      <c r="A128" s="178"/>
      <c r="B128" s="161"/>
      <c r="C128" s="161"/>
      <c r="D128" s="161"/>
      <c r="E128" s="159"/>
      <c r="F128" s="161"/>
      <c r="G128" s="161"/>
      <c r="J128" s="161"/>
      <c r="K128" s="175"/>
      <c r="L128" s="159"/>
      <c r="M128" s="161"/>
      <c r="N128" s="161"/>
      <c r="O128" s="161"/>
      <c r="P128" s="161"/>
      <c r="Q128" s="161"/>
      <c r="R128" s="161"/>
      <c r="S128" s="159"/>
      <c r="T128" s="159"/>
      <c r="U128" s="159"/>
      <c r="V128" s="159"/>
      <c r="W128" s="159"/>
      <c r="X128" s="159"/>
      <c r="Y128" s="159"/>
      <c r="Z128" s="159"/>
      <c r="AA128" s="159"/>
      <c r="AB128" s="159"/>
      <c r="AC128" s="159"/>
      <c r="AD128" s="159"/>
      <c r="AE128" s="159"/>
      <c r="AF128" s="159"/>
      <c r="AG128" s="175"/>
      <c r="AH128" s="175"/>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c r="CA128" s="161"/>
      <c r="CB128" s="161"/>
      <c r="CC128" s="161"/>
      <c r="CD128" s="161"/>
      <c r="CE128" s="161"/>
      <c r="CF128" s="161"/>
      <c r="CG128" s="161"/>
      <c r="CH128" s="161"/>
      <c r="CI128" s="161"/>
      <c r="CJ128" s="161"/>
      <c r="CK128" s="161"/>
      <c r="CL128" s="161"/>
      <c r="CM128" s="161"/>
      <c r="CN128" s="161"/>
      <c r="CO128" s="161"/>
      <c r="CP128" s="161"/>
      <c r="CQ128" s="161"/>
      <c r="CR128" s="161"/>
      <c r="CS128" s="161"/>
      <c r="CT128" s="161"/>
      <c r="CU128" s="161"/>
      <c r="CV128" s="161"/>
      <c r="CW128" s="161"/>
      <c r="CX128" s="161"/>
      <c r="CY128" s="161"/>
      <c r="CZ128" s="161"/>
      <c r="DA128" s="161"/>
      <c r="DB128" s="161"/>
      <c r="DC128" s="161"/>
      <c r="DD128" s="161"/>
      <c r="DE128" s="161"/>
      <c r="DF128" s="161"/>
      <c r="DG128" s="161"/>
      <c r="DH128" s="161"/>
      <c r="DI128" s="161"/>
      <c r="DJ128" s="161"/>
      <c r="DK128" s="161"/>
      <c r="DL128" s="161"/>
      <c r="DM128" s="161"/>
      <c r="DN128" s="161"/>
      <c r="DO128" s="161"/>
      <c r="DP128" s="161"/>
      <c r="DQ128" s="161"/>
      <c r="DR128" s="161"/>
      <c r="DS128" s="161"/>
      <c r="DT128" s="161"/>
      <c r="DU128" s="161"/>
      <c r="DV128" s="161"/>
      <c r="DW128" s="161"/>
      <c r="DX128" s="161"/>
      <c r="DY128" s="161"/>
      <c r="DZ128" s="161"/>
      <c r="EA128" s="161"/>
      <c r="EB128" s="174"/>
      <c r="EC128" s="161"/>
      <c r="ED128" s="161"/>
      <c r="EE128" s="161"/>
      <c r="EF128" s="161"/>
      <c r="EG128" s="161"/>
      <c r="EH128" s="161"/>
      <c r="EI128" s="161"/>
      <c r="EJ128" s="161"/>
      <c r="EK128" s="161"/>
      <c r="EL128" s="161"/>
      <c r="EM128" s="161"/>
      <c r="EN128" s="161"/>
      <c r="EO128" s="161"/>
      <c r="EP128" s="161"/>
      <c r="EQ128" s="161"/>
      <c r="ER128" s="161"/>
      <c r="ES128" s="161"/>
      <c r="ET128" s="161"/>
      <c r="EU128" s="161"/>
      <c r="EV128" s="161"/>
      <c r="EW128" s="161"/>
      <c r="EX128" s="161"/>
      <c r="EY128" s="161"/>
      <c r="EZ128" s="161"/>
      <c r="FA128" s="161"/>
      <c r="FB128" s="161"/>
      <c r="FC128" s="161"/>
      <c r="FD128" s="161"/>
      <c r="FE128" s="161"/>
      <c r="FF128" s="161"/>
      <c r="FG128" s="161"/>
      <c r="FH128" s="178"/>
      <c r="FI128" s="178"/>
      <c r="FJ128" s="178"/>
      <c r="FK128" s="178"/>
      <c r="FL128" s="178"/>
      <c r="FM128" s="178"/>
      <c r="FN128" s="178"/>
      <c r="FO128" s="178"/>
      <c r="FP128" s="178"/>
      <c r="FQ128" s="178"/>
      <c r="FR128" s="178"/>
      <c r="FS128" s="178"/>
      <c r="FT128" s="178"/>
      <c r="FU128" s="178"/>
      <c r="FV128" s="178"/>
      <c r="FW128" s="178"/>
    </row>
    <row r="129" spans="1:179">
      <c r="A129" s="178"/>
      <c r="B129" s="161"/>
      <c r="C129" s="161"/>
      <c r="D129" s="161"/>
      <c r="E129" s="159"/>
      <c r="F129" s="161"/>
      <c r="G129" s="161"/>
      <c r="J129" s="161"/>
      <c r="K129" s="175"/>
      <c r="L129" s="159"/>
      <c r="M129" s="161"/>
      <c r="N129" s="161"/>
      <c r="O129" s="161"/>
      <c r="P129" s="161"/>
      <c r="Q129" s="161"/>
      <c r="R129" s="161"/>
      <c r="S129" s="159"/>
      <c r="T129" s="159"/>
      <c r="U129" s="159"/>
      <c r="V129" s="159"/>
      <c r="W129" s="159"/>
      <c r="X129" s="159"/>
      <c r="Y129" s="159"/>
      <c r="Z129" s="159"/>
      <c r="AA129" s="159"/>
      <c r="AB129" s="159"/>
      <c r="AC129" s="159"/>
      <c r="AD129" s="159"/>
      <c r="AE129" s="159"/>
      <c r="AF129" s="159"/>
      <c r="AG129" s="175"/>
      <c r="AH129" s="175"/>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c r="CA129" s="161"/>
      <c r="CB129" s="161"/>
      <c r="CC129" s="161"/>
      <c r="CD129" s="161"/>
      <c r="CE129" s="161"/>
      <c r="CF129" s="161"/>
      <c r="CG129" s="161"/>
      <c r="CH129" s="161"/>
      <c r="CI129" s="161"/>
      <c r="CJ129" s="161"/>
      <c r="CK129" s="161"/>
      <c r="CL129" s="161"/>
      <c r="CM129" s="161"/>
      <c r="CN129" s="161"/>
      <c r="CO129" s="161"/>
      <c r="CP129" s="161"/>
      <c r="CQ129" s="161"/>
      <c r="CR129" s="161"/>
      <c r="CS129" s="161"/>
      <c r="CT129" s="161"/>
      <c r="CU129" s="161"/>
      <c r="CV129" s="161"/>
      <c r="CW129" s="161"/>
      <c r="CX129" s="161"/>
      <c r="CY129" s="161"/>
      <c r="CZ129" s="161"/>
      <c r="DA129" s="161"/>
      <c r="DB129" s="161"/>
      <c r="DC129" s="161"/>
      <c r="DD129" s="161"/>
      <c r="DE129" s="161"/>
      <c r="DF129" s="161"/>
      <c r="DG129" s="161"/>
      <c r="DH129" s="161"/>
      <c r="DI129" s="161"/>
      <c r="DJ129" s="161"/>
      <c r="DK129" s="161"/>
      <c r="DL129" s="161"/>
      <c r="DM129" s="161"/>
      <c r="DN129" s="161"/>
      <c r="DO129" s="161"/>
      <c r="DP129" s="161"/>
      <c r="DQ129" s="161"/>
      <c r="DR129" s="161"/>
      <c r="DS129" s="161"/>
      <c r="DT129" s="161"/>
      <c r="DU129" s="161"/>
      <c r="DV129" s="161"/>
      <c r="DW129" s="161"/>
      <c r="DX129" s="161"/>
      <c r="DY129" s="161"/>
      <c r="DZ129" s="161"/>
      <c r="EA129" s="161"/>
      <c r="EB129" s="174"/>
      <c r="EC129" s="161"/>
      <c r="ED129" s="161"/>
      <c r="EE129" s="161"/>
      <c r="EF129" s="161"/>
      <c r="EG129" s="161"/>
      <c r="EH129" s="161"/>
      <c r="EI129" s="161"/>
      <c r="EJ129" s="161"/>
      <c r="EK129" s="161"/>
      <c r="EL129" s="161"/>
      <c r="EM129" s="161"/>
      <c r="EN129" s="161"/>
      <c r="EO129" s="161"/>
      <c r="EP129" s="161"/>
      <c r="EQ129" s="161"/>
      <c r="ER129" s="161"/>
      <c r="ES129" s="161"/>
      <c r="ET129" s="161"/>
      <c r="EU129" s="161"/>
      <c r="EV129" s="161"/>
      <c r="EW129" s="161"/>
      <c r="EX129" s="161"/>
      <c r="EY129" s="161"/>
      <c r="EZ129" s="161"/>
      <c r="FA129" s="161"/>
      <c r="FB129" s="161"/>
      <c r="FC129" s="161"/>
      <c r="FD129" s="161"/>
      <c r="FE129" s="161"/>
      <c r="FF129" s="161"/>
      <c r="FG129" s="161"/>
      <c r="FH129" s="178"/>
      <c r="FI129" s="178"/>
      <c r="FJ129" s="178"/>
      <c r="FK129" s="178"/>
      <c r="FL129" s="178"/>
      <c r="FM129" s="178"/>
      <c r="FN129" s="178"/>
      <c r="FO129" s="178"/>
      <c r="FP129" s="178"/>
      <c r="FQ129" s="178"/>
      <c r="FR129" s="178"/>
      <c r="FS129" s="178"/>
      <c r="FT129" s="178"/>
      <c r="FU129" s="178"/>
      <c r="FV129" s="178"/>
      <c r="FW129" s="178"/>
    </row>
    <row r="130" spans="1:179">
      <c r="A130" s="178"/>
      <c r="B130" s="161"/>
      <c r="C130" s="161"/>
      <c r="D130" s="161"/>
      <c r="E130" s="159"/>
      <c r="F130" s="161"/>
      <c r="G130" s="161"/>
      <c r="J130" s="161"/>
      <c r="K130" s="175"/>
      <c r="L130" s="159"/>
      <c r="M130" s="161"/>
      <c r="N130" s="161"/>
      <c r="O130" s="161"/>
      <c r="P130" s="161"/>
      <c r="Q130" s="161"/>
      <c r="R130" s="161"/>
      <c r="S130" s="159"/>
      <c r="T130" s="159"/>
      <c r="U130" s="159"/>
      <c r="V130" s="159"/>
      <c r="W130" s="159"/>
      <c r="X130" s="159"/>
      <c r="Y130" s="159"/>
      <c r="Z130" s="159"/>
      <c r="AA130" s="159"/>
      <c r="AB130" s="159"/>
      <c r="AC130" s="159"/>
      <c r="AD130" s="159"/>
      <c r="AE130" s="159"/>
      <c r="AF130" s="159"/>
      <c r="AG130" s="175"/>
      <c r="AH130" s="175"/>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161"/>
      <c r="BU130" s="161"/>
      <c r="BV130" s="161"/>
      <c r="BW130" s="161"/>
      <c r="BX130" s="161"/>
      <c r="BY130" s="161"/>
      <c r="BZ130" s="161"/>
      <c r="CA130" s="161"/>
      <c r="CB130" s="161"/>
      <c r="CC130" s="161"/>
      <c r="CD130" s="161"/>
      <c r="CE130" s="161"/>
      <c r="CF130" s="161"/>
      <c r="CG130" s="161"/>
      <c r="CH130" s="161"/>
      <c r="CI130" s="161"/>
      <c r="CJ130" s="161"/>
      <c r="CK130" s="161"/>
      <c r="CL130" s="161"/>
      <c r="CM130" s="161"/>
      <c r="CN130" s="161"/>
      <c r="CO130" s="161"/>
      <c r="CP130" s="161"/>
      <c r="CQ130" s="161"/>
      <c r="CR130" s="161"/>
      <c r="CS130" s="161"/>
      <c r="CT130" s="161"/>
      <c r="CU130" s="161"/>
      <c r="CV130" s="161"/>
      <c r="CW130" s="161"/>
      <c r="CX130" s="161"/>
      <c r="CY130" s="161"/>
      <c r="CZ130" s="161"/>
      <c r="DA130" s="161"/>
      <c r="DB130" s="161"/>
      <c r="DC130" s="161"/>
      <c r="DD130" s="161"/>
      <c r="DE130" s="161"/>
      <c r="DF130" s="161"/>
      <c r="DG130" s="161"/>
      <c r="DH130" s="161"/>
      <c r="DI130" s="161"/>
      <c r="DJ130" s="161"/>
      <c r="DK130" s="161"/>
      <c r="DL130" s="161"/>
      <c r="DM130" s="161"/>
      <c r="DN130" s="161"/>
      <c r="DO130" s="161"/>
      <c r="DP130" s="161"/>
      <c r="DQ130" s="161"/>
      <c r="DR130" s="161"/>
      <c r="DS130" s="161"/>
      <c r="DT130" s="161"/>
      <c r="DU130" s="161"/>
      <c r="DV130" s="161"/>
      <c r="DW130" s="161"/>
      <c r="DX130" s="161"/>
      <c r="DY130" s="161"/>
      <c r="DZ130" s="161"/>
      <c r="EA130" s="161"/>
      <c r="EB130" s="174"/>
      <c r="EC130" s="161"/>
      <c r="ED130" s="161"/>
      <c r="EE130" s="161"/>
      <c r="EF130" s="161"/>
      <c r="EG130" s="161"/>
      <c r="EH130" s="161"/>
      <c r="EI130" s="161"/>
      <c r="EJ130" s="161"/>
      <c r="EK130" s="161"/>
      <c r="EL130" s="161"/>
      <c r="EM130" s="161"/>
      <c r="EN130" s="161"/>
      <c r="EO130" s="161"/>
      <c r="EP130" s="161"/>
      <c r="EQ130" s="161"/>
      <c r="ER130" s="161"/>
      <c r="ES130" s="161"/>
      <c r="ET130" s="161"/>
      <c r="EU130" s="161"/>
      <c r="EV130" s="161"/>
      <c r="EW130" s="161"/>
      <c r="EX130" s="161"/>
      <c r="EY130" s="161"/>
      <c r="EZ130" s="161"/>
      <c r="FA130" s="161"/>
      <c r="FB130" s="161"/>
      <c r="FC130" s="161"/>
      <c r="FD130" s="161"/>
      <c r="FE130" s="161"/>
      <c r="FF130" s="161"/>
      <c r="FG130" s="161"/>
      <c r="FH130" s="178"/>
      <c r="FI130" s="178"/>
      <c r="FJ130" s="178"/>
      <c r="FK130" s="178"/>
      <c r="FL130" s="178"/>
      <c r="FM130" s="178"/>
      <c r="FN130" s="178"/>
      <c r="FO130" s="178"/>
      <c r="FP130" s="178"/>
      <c r="FQ130" s="178"/>
      <c r="FR130" s="178"/>
      <c r="FS130" s="178"/>
      <c r="FT130" s="178"/>
      <c r="FU130" s="178"/>
      <c r="FV130" s="178"/>
      <c r="FW130" s="178"/>
    </row>
    <row r="131" spans="1:179">
      <c r="A131" s="76"/>
      <c r="BO131" s="161"/>
      <c r="BP131" s="161"/>
      <c r="BQ131" s="161"/>
      <c r="BR131" s="161"/>
      <c r="BS131" s="161"/>
      <c r="BT131" s="161"/>
      <c r="BU131" s="161"/>
      <c r="BV131" s="161"/>
      <c r="BW131" s="161"/>
      <c r="BX131" s="161"/>
      <c r="BY131" s="161"/>
      <c r="BZ131" s="161"/>
      <c r="CA131" s="161"/>
      <c r="CB131" s="161"/>
      <c r="CC131" s="161"/>
      <c r="CD131" s="161"/>
      <c r="CE131" s="161"/>
      <c r="CF131" s="161"/>
      <c r="CG131" s="161"/>
      <c r="CH131" s="161"/>
      <c r="CI131" s="161"/>
      <c r="CJ131" s="161"/>
      <c r="CK131" s="161"/>
      <c r="CL131" s="161"/>
      <c r="CM131" s="161"/>
      <c r="CN131" s="161"/>
      <c r="CO131" s="161"/>
      <c r="CP131" s="161"/>
      <c r="CQ131" s="161"/>
      <c r="CR131" s="161"/>
      <c r="CS131" s="161"/>
      <c r="CT131" s="161"/>
      <c r="CU131" s="161"/>
      <c r="CV131" s="161"/>
      <c r="CW131" s="161"/>
      <c r="CX131" s="161"/>
      <c r="CY131" s="161"/>
      <c r="CZ131" s="161"/>
      <c r="DA131" s="161"/>
      <c r="DB131" s="161"/>
      <c r="DC131" s="161"/>
      <c r="DD131" s="161"/>
      <c r="DE131" s="161"/>
      <c r="DF131" s="161"/>
      <c r="DG131" s="161"/>
      <c r="DH131" s="161"/>
      <c r="DI131" s="161"/>
      <c r="DJ131" s="161"/>
      <c r="DK131" s="161"/>
      <c r="DL131" s="161"/>
      <c r="DM131" s="161"/>
      <c r="DN131" s="161"/>
      <c r="DO131" s="161"/>
      <c r="DP131" s="161"/>
      <c r="DQ131" s="161"/>
      <c r="DR131" s="161"/>
      <c r="DS131" s="161"/>
      <c r="DT131" s="161"/>
      <c r="DU131" s="161"/>
      <c r="DV131" s="161"/>
      <c r="DW131" s="161"/>
      <c r="DX131" s="161"/>
      <c r="DY131" s="161"/>
      <c r="DZ131" s="161"/>
      <c r="EA131" s="161"/>
      <c r="EB131" s="174"/>
    </row>
    <row r="132" spans="1:179">
      <c r="A132" s="76"/>
      <c r="BO132" s="161"/>
      <c r="BP132" s="161"/>
      <c r="BQ132" s="161"/>
      <c r="BR132" s="161"/>
      <c r="BS132" s="161"/>
      <c r="BT132" s="161"/>
      <c r="BU132" s="161"/>
      <c r="BV132" s="161"/>
      <c r="BW132" s="161"/>
      <c r="BX132" s="161"/>
      <c r="BY132" s="161"/>
      <c r="BZ132" s="161"/>
      <c r="CA132" s="161"/>
      <c r="CB132" s="161"/>
      <c r="CC132" s="161"/>
      <c r="CD132" s="161"/>
      <c r="CE132" s="161"/>
      <c r="CF132" s="161"/>
      <c r="CG132" s="161"/>
      <c r="CH132" s="161"/>
      <c r="CI132" s="161"/>
      <c r="CJ132" s="161"/>
      <c r="CK132" s="161"/>
      <c r="CL132" s="161"/>
      <c r="CM132" s="161"/>
      <c r="CN132" s="161"/>
      <c r="CO132" s="161"/>
      <c r="CP132" s="161"/>
      <c r="CQ132" s="161"/>
      <c r="CR132" s="161"/>
      <c r="CS132" s="161"/>
      <c r="CT132" s="161"/>
      <c r="CU132" s="161"/>
      <c r="CV132" s="161"/>
      <c r="CW132" s="161"/>
      <c r="CX132" s="161"/>
      <c r="CY132" s="161"/>
      <c r="CZ132" s="161"/>
      <c r="DA132" s="161"/>
      <c r="DB132" s="161"/>
      <c r="DC132" s="161"/>
      <c r="DD132" s="161"/>
      <c r="DE132" s="161"/>
      <c r="DF132" s="161"/>
      <c r="DG132" s="161"/>
      <c r="DH132" s="161"/>
      <c r="DI132" s="161"/>
      <c r="DJ132" s="161"/>
      <c r="DK132" s="161"/>
      <c r="DL132" s="161"/>
      <c r="DM132" s="161"/>
      <c r="DN132" s="161"/>
      <c r="DO132" s="161"/>
      <c r="DP132" s="161"/>
      <c r="DQ132" s="161"/>
      <c r="DR132" s="161"/>
      <c r="DS132" s="161"/>
      <c r="DT132" s="161"/>
      <c r="DU132" s="161"/>
      <c r="DV132" s="161"/>
      <c r="DW132" s="161"/>
      <c r="DX132" s="161"/>
      <c r="DY132" s="161"/>
      <c r="DZ132" s="161"/>
      <c r="EA132" s="161"/>
      <c r="EB132" s="174"/>
    </row>
    <row r="133" spans="1:179">
      <c r="A133" s="76"/>
      <c r="BO133" s="161"/>
      <c r="BP133" s="161"/>
      <c r="BQ133" s="161"/>
      <c r="BR133" s="161"/>
      <c r="BS133" s="161"/>
      <c r="BT133" s="161"/>
      <c r="BU133" s="161"/>
      <c r="BV133" s="161"/>
      <c r="BW133" s="161"/>
      <c r="BX133" s="161"/>
      <c r="BY133" s="161"/>
      <c r="BZ133" s="161"/>
      <c r="CA133" s="161"/>
      <c r="CB133" s="161"/>
      <c r="CC133" s="161"/>
      <c r="CD133" s="161"/>
      <c r="CE133" s="161"/>
      <c r="CF133" s="161"/>
      <c r="CG133" s="161"/>
      <c r="CH133" s="161"/>
      <c r="CI133" s="161"/>
      <c r="CJ133" s="161"/>
      <c r="CK133" s="161"/>
      <c r="CL133" s="161"/>
      <c r="CM133" s="161"/>
      <c r="CN133" s="161"/>
      <c r="CO133" s="161"/>
      <c r="CP133" s="161"/>
      <c r="CQ133" s="161"/>
      <c r="CR133" s="161"/>
      <c r="CS133" s="161"/>
      <c r="CT133" s="161"/>
      <c r="CU133" s="161"/>
      <c r="CV133" s="161"/>
      <c r="CW133" s="161"/>
      <c r="CX133" s="161"/>
      <c r="CY133" s="161"/>
      <c r="CZ133" s="161"/>
      <c r="DA133" s="161"/>
      <c r="DB133" s="161"/>
      <c r="DC133" s="161"/>
      <c r="DD133" s="161"/>
      <c r="DE133" s="161"/>
      <c r="DF133" s="161"/>
      <c r="DG133" s="161"/>
      <c r="DH133" s="161"/>
      <c r="DI133" s="161"/>
      <c r="DJ133" s="161"/>
      <c r="DK133" s="161"/>
      <c r="DL133" s="161"/>
      <c r="DM133" s="161"/>
      <c r="DN133" s="161"/>
      <c r="DO133" s="161"/>
      <c r="DP133" s="161"/>
      <c r="DQ133" s="161"/>
      <c r="DR133" s="161"/>
      <c r="DS133" s="161"/>
      <c r="DT133" s="161"/>
      <c r="DU133" s="161"/>
      <c r="DV133" s="161"/>
      <c r="DW133" s="161"/>
      <c r="DX133" s="161"/>
      <c r="DY133" s="161"/>
      <c r="DZ133" s="161"/>
      <c r="EA133" s="161"/>
      <c r="EB133" s="174"/>
    </row>
    <row r="134" spans="1:179">
      <c r="A134" s="76"/>
      <c r="BO134" s="161"/>
      <c r="BP134" s="161"/>
      <c r="BQ134" s="161"/>
      <c r="BR134" s="161"/>
      <c r="BS134" s="161"/>
      <c r="BT134" s="161"/>
      <c r="BU134" s="161"/>
      <c r="BV134" s="161"/>
      <c r="BW134" s="161"/>
      <c r="BX134" s="161"/>
      <c r="BY134" s="161"/>
      <c r="BZ134" s="161"/>
      <c r="CA134" s="161"/>
      <c r="CB134" s="161"/>
      <c r="CC134" s="161"/>
      <c r="CD134" s="161"/>
      <c r="CE134" s="161"/>
      <c r="CF134" s="161"/>
      <c r="CG134" s="161"/>
      <c r="CH134" s="161"/>
      <c r="CI134" s="161"/>
      <c r="CJ134" s="161"/>
      <c r="CK134" s="161"/>
      <c r="CL134" s="161"/>
      <c r="CM134" s="161"/>
      <c r="CN134" s="161"/>
      <c r="CO134" s="161"/>
      <c r="CP134" s="161"/>
      <c r="CQ134" s="161"/>
      <c r="CR134" s="161"/>
      <c r="CS134" s="161"/>
      <c r="CT134" s="161"/>
      <c r="CU134" s="161"/>
      <c r="CV134" s="161"/>
      <c r="CW134" s="161"/>
      <c r="CX134" s="161"/>
      <c r="CY134" s="161"/>
      <c r="CZ134" s="161"/>
      <c r="DA134" s="161"/>
      <c r="DB134" s="161"/>
      <c r="DC134" s="161"/>
      <c r="DD134" s="161"/>
      <c r="DE134" s="161"/>
      <c r="DF134" s="161"/>
      <c r="DG134" s="161"/>
      <c r="DH134" s="161"/>
      <c r="DI134" s="161"/>
      <c r="DJ134" s="161"/>
      <c r="DK134" s="161"/>
      <c r="DL134" s="161"/>
      <c r="DM134" s="161"/>
      <c r="DN134" s="161"/>
      <c r="DO134" s="161"/>
      <c r="DP134" s="161"/>
      <c r="DQ134" s="161"/>
      <c r="DR134" s="161"/>
      <c r="DS134" s="161"/>
      <c r="DT134" s="161"/>
      <c r="DU134" s="161"/>
      <c r="DV134" s="161"/>
      <c r="DW134" s="161"/>
      <c r="DX134" s="161"/>
      <c r="DY134" s="161"/>
      <c r="DZ134" s="161"/>
      <c r="EA134" s="161"/>
      <c r="EB134" s="174"/>
    </row>
    <row r="135" spans="1:179">
      <c r="A135" s="76"/>
      <c r="BO135" s="161"/>
      <c r="BP135" s="161"/>
      <c r="BQ135" s="161"/>
      <c r="BR135" s="161"/>
      <c r="BS135" s="161"/>
      <c r="BT135" s="161"/>
      <c r="BU135" s="161"/>
      <c r="BV135" s="161"/>
      <c r="BW135" s="161"/>
      <c r="BX135" s="161"/>
      <c r="BY135" s="161"/>
      <c r="BZ135" s="161"/>
      <c r="CA135" s="161"/>
      <c r="CB135" s="161"/>
      <c r="CC135" s="161"/>
      <c r="CD135" s="161"/>
      <c r="CE135" s="161"/>
      <c r="CF135" s="161"/>
      <c r="CG135" s="161"/>
      <c r="CH135" s="161"/>
      <c r="CI135" s="161"/>
      <c r="CJ135" s="161"/>
      <c r="CK135" s="161"/>
      <c r="CL135" s="161"/>
      <c r="CM135" s="161"/>
      <c r="CN135" s="161"/>
      <c r="CO135" s="161"/>
      <c r="CP135" s="161"/>
      <c r="CQ135" s="161"/>
      <c r="CR135" s="161"/>
      <c r="CS135" s="161"/>
      <c r="CT135" s="161"/>
      <c r="CU135" s="161"/>
      <c r="CV135" s="161"/>
      <c r="CW135" s="161"/>
      <c r="CX135" s="161"/>
      <c r="CY135" s="161"/>
      <c r="CZ135" s="161"/>
      <c r="DA135" s="161"/>
      <c r="DB135" s="161"/>
      <c r="DC135" s="161"/>
      <c r="DD135" s="161"/>
      <c r="DE135" s="161"/>
      <c r="DF135" s="161"/>
      <c r="DG135" s="161"/>
      <c r="DH135" s="161"/>
      <c r="DI135" s="161"/>
      <c r="DJ135" s="161"/>
      <c r="DK135" s="161"/>
      <c r="DL135" s="161"/>
      <c r="DM135" s="161"/>
      <c r="DN135" s="161"/>
      <c r="DO135" s="161"/>
      <c r="DP135" s="161"/>
      <c r="DQ135" s="161"/>
      <c r="DR135" s="161"/>
      <c r="DS135" s="161"/>
      <c r="DT135" s="161"/>
      <c r="DU135" s="161"/>
      <c r="DV135" s="161"/>
      <c r="DW135" s="161"/>
      <c r="DX135" s="161"/>
      <c r="DY135" s="161"/>
      <c r="DZ135" s="161"/>
      <c r="EA135" s="161"/>
      <c r="EB135" s="174"/>
    </row>
    <row r="136" spans="1:179">
      <c r="A136" s="76"/>
      <c r="BO136" s="161"/>
      <c r="BP136" s="161"/>
      <c r="BQ136" s="161"/>
      <c r="BR136" s="161"/>
      <c r="BS136" s="161"/>
      <c r="BT136" s="161"/>
      <c r="BU136" s="161"/>
      <c r="BV136" s="161"/>
      <c r="BW136" s="161"/>
      <c r="BX136" s="161"/>
      <c r="BY136" s="161"/>
      <c r="BZ136" s="161"/>
      <c r="CA136" s="161"/>
      <c r="CB136" s="161"/>
      <c r="CC136" s="161"/>
      <c r="CD136" s="161"/>
      <c r="CE136" s="161"/>
      <c r="CF136" s="161"/>
      <c r="CG136" s="161"/>
      <c r="CH136" s="161"/>
      <c r="CI136" s="161"/>
      <c r="CJ136" s="161"/>
      <c r="CK136" s="161"/>
      <c r="CL136" s="161"/>
      <c r="CM136" s="161"/>
      <c r="CN136" s="161"/>
      <c r="CO136" s="161"/>
      <c r="CP136" s="161"/>
      <c r="CQ136" s="161"/>
      <c r="CR136" s="161"/>
      <c r="CS136" s="161"/>
      <c r="CT136" s="161"/>
      <c r="CU136" s="161"/>
      <c r="CV136" s="161"/>
      <c r="CW136" s="161"/>
      <c r="CX136" s="161"/>
      <c r="CY136" s="161"/>
      <c r="CZ136" s="161"/>
      <c r="DA136" s="161"/>
      <c r="DB136" s="161"/>
      <c r="DC136" s="161"/>
      <c r="DD136" s="161"/>
      <c r="DE136" s="161"/>
      <c r="DF136" s="161"/>
      <c r="DG136" s="161"/>
      <c r="DH136" s="161"/>
      <c r="DI136" s="161"/>
      <c r="DJ136" s="161"/>
      <c r="DK136" s="161"/>
      <c r="DL136" s="161"/>
      <c r="DM136" s="161"/>
      <c r="DN136" s="161"/>
      <c r="DO136" s="161"/>
      <c r="DP136" s="161"/>
      <c r="DQ136" s="161"/>
      <c r="DR136" s="161"/>
      <c r="DS136" s="161"/>
      <c r="DT136" s="161"/>
      <c r="DU136" s="161"/>
      <c r="DV136" s="161"/>
      <c r="DW136" s="161"/>
      <c r="DX136" s="161"/>
      <c r="DY136" s="161"/>
      <c r="DZ136" s="161"/>
      <c r="EA136" s="161"/>
      <c r="EB136" s="174"/>
    </row>
    <row r="137" spans="1:179">
      <c r="A137" s="76"/>
      <c r="BO137" s="161"/>
      <c r="BP137" s="161"/>
      <c r="BQ137" s="161"/>
      <c r="BR137" s="161"/>
      <c r="BS137" s="161"/>
      <c r="BT137" s="161"/>
      <c r="BU137" s="161"/>
      <c r="BV137" s="161"/>
      <c r="BW137" s="161"/>
      <c r="BX137" s="161"/>
      <c r="BY137" s="161"/>
      <c r="BZ137" s="161"/>
      <c r="CA137" s="161"/>
      <c r="CB137" s="161"/>
      <c r="CC137" s="161"/>
      <c r="CD137" s="161"/>
      <c r="CE137" s="161"/>
      <c r="CF137" s="161"/>
      <c r="CG137" s="161"/>
      <c r="CH137" s="161"/>
      <c r="CI137" s="161"/>
      <c r="CJ137" s="161"/>
      <c r="CK137" s="161"/>
      <c r="CL137" s="161"/>
      <c r="CM137" s="161"/>
      <c r="CN137" s="161"/>
      <c r="CO137" s="161"/>
      <c r="CP137" s="161"/>
      <c r="CQ137" s="161"/>
      <c r="CR137" s="161"/>
      <c r="CS137" s="161"/>
      <c r="CT137" s="161"/>
      <c r="CU137" s="161"/>
      <c r="CV137" s="161"/>
      <c r="CW137" s="161"/>
      <c r="CX137" s="161"/>
      <c r="CY137" s="161"/>
      <c r="CZ137" s="161"/>
      <c r="DA137" s="161"/>
      <c r="DB137" s="161"/>
      <c r="DC137" s="161"/>
      <c r="DD137" s="161"/>
      <c r="DE137" s="161"/>
      <c r="DF137" s="161"/>
      <c r="DG137" s="161"/>
      <c r="DH137" s="161"/>
      <c r="DI137" s="161"/>
      <c r="DJ137" s="161"/>
      <c r="DK137" s="161"/>
      <c r="DL137" s="161"/>
      <c r="DM137" s="161"/>
      <c r="DN137" s="161"/>
      <c r="DO137" s="161"/>
      <c r="DP137" s="161"/>
      <c r="DQ137" s="161"/>
      <c r="DR137" s="161"/>
      <c r="DS137" s="161"/>
      <c r="DT137" s="161"/>
      <c r="DU137" s="161"/>
      <c r="DV137" s="161"/>
      <c r="DW137" s="161"/>
      <c r="DX137" s="161"/>
      <c r="DY137" s="161"/>
      <c r="DZ137" s="161"/>
      <c r="EA137" s="161"/>
      <c r="EB137" s="174"/>
    </row>
    <row r="138" spans="1:179">
      <c r="A138" s="76"/>
      <c r="BO138" s="161"/>
      <c r="BP138" s="161"/>
      <c r="BQ138" s="161"/>
      <c r="BR138" s="161"/>
      <c r="BS138" s="161"/>
      <c r="BT138" s="161"/>
      <c r="BU138" s="161"/>
      <c r="BV138" s="161"/>
      <c r="BW138" s="161"/>
      <c r="BX138" s="161"/>
      <c r="BY138" s="161"/>
      <c r="BZ138" s="161"/>
      <c r="CA138" s="161"/>
      <c r="CB138" s="161"/>
      <c r="CC138" s="161"/>
      <c r="CD138" s="161"/>
      <c r="CE138" s="161"/>
      <c r="CF138" s="161"/>
      <c r="CG138" s="161"/>
      <c r="CH138" s="161"/>
      <c r="CI138" s="161"/>
      <c r="CJ138" s="161"/>
      <c r="CK138" s="161"/>
      <c r="CL138" s="161"/>
      <c r="CM138" s="161"/>
      <c r="CN138" s="161"/>
      <c r="CO138" s="161"/>
      <c r="CP138" s="161"/>
      <c r="CQ138" s="161"/>
      <c r="CR138" s="161"/>
      <c r="CS138" s="161"/>
      <c r="CT138" s="161"/>
      <c r="CU138" s="161"/>
      <c r="CV138" s="161"/>
      <c r="CW138" s="161"/>
      <c r="CX138" s="161"/>
      <c r="CY138" s="161"/>
      <c r="CZ138" s="161"/>
      <c r="DA138" s="161"/>
      <c r="DB138" s="161"/>
      <c r="DC138" s="161"/>
      <c r="DD138" s="161"/>
      <c r="DE138" s="161"/>
      <c r="DF138" s="161"/>
      <c r="DG138" s="161"/>
      <c r="DH138" s="161"/>
      <c r="DI138" s="161"/>
      <c r="DJ138" s="161"/>
      <c r="DK138" s="161"/>
      <c r="DL138" s="161"/>
      <c r="DM138" s="161"/>
      <c r="DN138" s="161"/>
      <c r="DO138" s="161"/>
      <c r="DP138" s="161"/>
      <c r="DQ138" s="161"/>
      <c r="DR138" s="161"/>
      <c r="DS138" s="161"/>
      <c r="DT138" s="161"/>
      <c r="DU138" s="161"/>
      <c r="DV138" s="161"/>
      <c r="DW138" s="161"/>
      <c r="DX138" s="161"/>
      <c r="DY138" s="161"/>
      <c r="DZ138" s="161"/>
      <c r="EA138" s="161"/>
      <c r="EB138" s="174"/>
    </row>
    <row r="139" spans="1:179">
      <c r="A139" s="76"/>
      <c r="BO139" s="161"/>
      <c r="BP139" s="161"/>
      <c r="BQ139" s="161"/>
      <c r="BR139" s="161"/>
      <c r="BS139" s="161"/>
      <c r="BT139" s="161"/>
      <c r="BU139" s="161"/>
      <c r="BV139" s="161"/>
      <c r="BW139" s="161"/>
      <c r="BX139" s="161"/>
      <c r="BY139" s="161"/>
      <c r="BZ139" s="161"/>
      <c r="CA139" s="161"/>
      <c r="CB139" s="161"/>
      <c r="CC139" s="161"/>
      <c r="CD139" s="161"/>
      <c r="CE139" s="161"/>
      <c r="CF139" s="161"/>
      <c r="CG139" s="161"/>
      <c r="CH139" s="161"/>
      <c r="CI139" s="161"/>
      <c r="CJ139" s="161"/>
      <c r="CK139" s="161"/>
      <c r="CL139" s="161"/>
      <c r="CM139" s="161"/>
      <c r="CN139" s="161"/>
      <c r="CO139" s="161"/>
      <c r="CP139" s="161"/>
      <c r="CQ139" s="161"/>
      <c r="CR139" s="161"/>
      <c r="CS139" s="161"/>
      <c r="CT139" s="161"/>
      <c r="CU139" s="161"/>
      <c r="CV139" s="161"/>
      <c r="CW139" s="161"/>
      <c r="CX139" s="161"/>
      <c r="CY139" s="161"/>
      <c r="CZ139" s="161"/>
      <c r="DA139" s="161"/>
      <c r="DB139" s="161"/>
      <c r="DC139" s="161"/>
      <c r="DD139" s="161"/>
      <c r="DE139" s="161"/>
      <c r="DF139" s="161"/>
      <c r="DG139" s="161"/>
      <c r="DH139" s="161"/>
      <c r="DI139" s="161"/>
      <c r="DJ139" s="161"/>
      <c r="DK139" s="161"/>
      <c r="DL139" s="161"/>
      <c r="DM139" s="161"/>
      <c r="DN139" s="161"/>
      <c r="DO139" s="161"/>
      <c r="DP139" s="161"/>
      <c r="DQ139" s="161"/>
      <c r="DR139" s="161"/>
      <c r="DS139" s="161"/>
      <c r="DT139" s="161"/>
      <c r="DU139" s="161"/>
      <c r="DV139" s="161"/>
      <c r="DW139" s="161"/>
      <c r="DX139" s="161"/>
      <c r="DY139" s="161"/>
      <c r="DZ139" s="161"/>
      <c r="EA139" s="161"/>
      <c r="EB139" s="174"/>
    </row>
    <row r="140" spans="1:179">
      <c r="A140" s="76"/>
      <c r="BO140" s="161"/>
      <c r="BP140" s="161"/>
      <c r="BQ140" s="161"/>
      <c r="BR140" s="161"/>
      <c r="BS140" s="161"/>
      <c r="BT140" s="161"/>
      <c r="BU140" s="161"/>
      <c r="BV140" s="161"/>
      <c r="BW140" s="161"/>
      <c r="BX140" s="161"/>
      <c r="BY140" s="161"/>
      <c r="BZ140" s="161"/>
      <c r="CA140" s="161"/>
      <c r="CB140" s="161"/>
      <c r="CC140" s="161"/>
      <c r="CD140" s="161"/>
      <c r="CE140" s="161"/>
      <c r="CF140" s="161"/>
      <c r="CG140" s="161"/>
      <c r="CH140" s="161"/>
      <c r="CI140" s="161"/>
      <c r="CJ140" s="161"/>
      <c r="CK140" s="161"/>
      <c r="CL140" s="161"/>
      <c r="CM140" s="161"/>
      <c r="CN140" s="161"/>
      <c r="CO140" s="161"/>
      <c r="CP140" s="161"/>
      <c r="CQ140" s="161"/>
      <c r="CR140" s="161"/>
      <c r="CS140" s="161"/>
      <c r="CT140" s="161"/>
      <c r="CU140" s="161"/>
      <c r="CV140" s="161"/>
      <c r="CW140" s="161"/>
      <c r="CX140" s="161"/>
      <c r="CY140" s="161"/>
      <c r="CZ140" s="161"/>
      <c r="DA140" s="161"/>
      <c r="DB140" s="161"/>
      <c r="DC140" s="161"/>
      <c r="DD140" s="161"/>
      <c r="DE140" s="161"/>
      <c r="DF140" s="161"/>
      <c r="DG140" s="161"/>
      <c r="DH140" s="161"/>
      <c r="DI140" s="161"/>
      <c r="DJ140" s="161"/>
      <c r="DK140" s="161"/>
      <c r="DL140" s="161"/>
      <c r="DM140" s="161"/>
      <c r="DN140" s="161"/>
      <c r="DO140" s="161"/>
      <c r="DP140" s="161"/>
      <c r="DQ140" s="161"/>
      <c r="DR140" s="161"/>
      <c r="DS140" s="161"/>
      <c r="DT140" s="161"/>
      <c r="DU140" s="161"/>
      <c r="DV140" s="161"/>
      <c r="DW140" s="161"/>
      <c r="DX140" s="161"/>
      <c r="DY140" s="161"/>
      <c r="DZ140" s="161"/>
      <c r="EA140" s="161"/>
      <c r="EB140" s="174"/>
    </row>
    <row r="141" spans="1:179">
      <c r="A141" s="76"/>
      <c r="BO141" s="161"/>
      <c r="BP141" s="161"/>
      <c r="BQ141" s="161"/>
      <c r="BR141" s="161"/>
      <c r="BS141" s="161"/>
      <c r="BT141" s="161"/>
      <c r="BU141" s="161"/>
      <c r="BV141" s="161"/>
      <c r="BW141" s="161"/>
      <c r="BX141" s="161"/>
      <c r="BY141" s="161"/>
      <c r="BZ141" s="161"/>
      <c r="CA141" s="161"/>
      <c r="CB141" s="161"/>
      <c r="CC141" s="161"/>
      <c r="CD141" s="161"/>
      <c r="CE141" s="161"/>
      <c r="CF141" s="161"/>
      <c r="CG141" s="161"/>
      <c r="CH141" s="161"/>
      <c r="CI141" s="161"/>
      <c r="CJ141" s="161"/>
      <c r="CK141" s="161"/>
      <c r="CL141" s="161"/>
      <c r="CM141" s="161"/>
      <c r="CN141" s="161"/>
      <c r="CO141" s="161"/>
      <c r="CP141" s="161"/>
      <c r="CQ141" s="161"/>
      <c r="CR141" s="161"/>
      <c r="CS141" s="161"/>
      <c r="CT141" s="161"/>
      <c r="CU141" s="161"/>
      <c r="CV141" s="161"/>
      <c r="CW141" s="161"/>
      <c r="CX141" s="161"/>
      <c r="CY141" s="161"/>
      <c r="CZ141" s="161"/>
      <c r="DA141" s="161"/>
      <c r="DB141" s="161"/>
      <c r="DC141" s="161"/>
      <c r="DD141" s="161"/>
      <c r="DE141" s="161"/>
      <c r="DF141" s="161"/>
      <c r="DG141" s="161"/>
      <c r="DH141" s="161"/>
      <c r="DI141" s="161"/>
      <c r="DJ141" s="161"/>
      <c r="DK141" s="161"/>
      <c r="DL141" s="161"/>
      <c r="DM141" s="161"/>
      <c r="DN141" s="161"/>
      <c r="DO141" s="161"/>
      <c r="DP141" s="161"/>
      <c r="DQ141" s="161"/>
      <c r="DR141" s="161"/>
      <c r="DS141" s="161"/>
      <c r="DT141" s="161"/>
      <c r="DU141" s="161"/>
      <c r="DV141" s="161"/>
      <c r="DW141" s="161"/>
      <c r="DX141" s="161"/>
      <c r="DY141" s="161"/>
      <c r="DZ141" s="161"/>
      <c r="EA141" s="161"/>
      <c r="EB141" s="174"/>
    </row>
    <row r="142" spans="1:179">
      <c r="A142" s="76"/>
      <c r="BO142" s="161"/>
      <c r="BP142" s="161"/>
      <c r="BQ142" s="161"/>
      <c r="BR142" s="161"/>
      <c r="BS142" s="161"/>
      <c r="BT142" s="161"/>
      <c r="BU142" s="161"/>
      <c r="BV142" s="161"/>
      <c r="BW142" s="161"/>
      <c r="BX142" s="161"/>
      <c r="BY142" s="161"/>
      <c r="BZ142" s="161"/>
      <c r="CA142" s="161"/>
      <c r="CB142" s="161"/>
      <c r="CC142" s="161"/>
      <c r="CD142" s="161"/>
      <c r="CE142" s="161"/>
      <c r="CF142" s="161"/>
      <c r="CG142" s="161"/>
      <c r="CH142" s="161"/>
      <c r="CI142" s="161"/>
      <c r="CJ142" s="161"/>
      <c r="CK142" s="161"/>
      <c r="CL142" s="161"/>
      <c r="CM142" s="161"/>
      <c r="CN142" s="161"/>
      <c r="CO142" s="161"/>
      <c r="CP142" s="161"/>
      <c r="CQ142" s="161"/>
      <c r="CR142" s="161"/>
      <c r="CS142" s="161"/>
      <c r="CT142" s="161"/>
      <c r="CU142" s="161"/>
      <c r="CV142" s="161"/>
      <c r="CW142" s="161"/>
      <c r="CX142" s="161"/>
      <c r="CY142" s="161"/>
      <c r="CZ142" s="161"/>
      <c r="DA142" s="161"/>
      <c r="DB142" s="161"/>
      <c r="DC142" s="161"/>
      <c r="DD142" s="161"/>
      <c r="DE142" s="161"/>
      <c r="DF142" s="161"/>
      <c r="DG142" s="161"/>
      <c r="DH142" s="161"/>
      <c r="DI142" s="161"/>
      <c r="DJ142" s="161"/>
      <c r="DK142" s="161"/>
      <c r="DL142" s="161"/>
      <c r="DM142" s="161"/>
      <c r="DN142" s="161"/>
      <c r="DO142" s="161"/>
      <c r="DP142" s="161"/>
      <c r="DQ142" s="161"/>
      <c r="DR142" s="161"/>
      <c r="DS142" s="161"/>
      <c r="DT142" s="161"/>
      <c r="DU142" s="161"/>
      <c r="DV142" s="161"/>
      <c r="DW142" s="161"/>
      <c r="DX142" s="161"/>
      <c r="DY142" s="161"/>
      <c r="DZ142" s="161"/>
      <c r="EA142" s="161"/>
      <c r="EB142" s="174"/>
    </row>
    <row r="143" spans="1:179">
      <c r="A143" s="76"/>
      <c r="BO143" s="161"/>
      <c r="BP143" s="161"/>
      <c r="BQ143" s="161"/>
      <c r="BR143" s="161"/>
      <c r="BS143" s="161"/>
      <c r="BT143" s="161"/>
      <c r="BU143" s="161"/>
      <c r="BV143" s="161"/>
      <c r="BW143" s="161"/>
      <c r="BX143" s="161"/>
      <c r="BY143" s="161"/>
      <c r="BZ143" s="161"/>
      <c r="CA143" s="161"/>
      <c r="CB143" s="161"/>
      <c r="CC143" s="161"/>
      <c r="CD143" s="161"/>
      <c r="CE143" s="161"/>
      <c r="CF143" s="161"/>
      <c r="CG143" s="161"/>
      <c r="CH143" s="161"/>
      <c r="CI143" s="161"/>
      <c r="CJ143" s="161"/>
      <c r="CK143" s="161"/>
      <c r="CL143" s="161"/>
      <c r="CM143" s="161"/>
      <c r="CN143" s="161"/>
      <c r="CO143" s="161"/>
      <c r="CP143" s="161"/>
      <c r="CQ143" s="161"/>
      <c r="CR143" s="161"/>
      <c r="CS143" s="161"/>
      <c r="CT143" s="161"/>
      <c r="CU143" s="161"/>
      <c r="CV143" s="161"/>
      <c r="CW143" s="161"/>
      <c r="CX143" s="161"/>
      <c r="CY143" s="161"/>
      <c r="CZ143" s="161"/>
      <c r="DA143" s="161"/>
      <c r="DB143" s="161"/>
      <c r="DC143" s="161"/>
      <c r="DD143" s="161"/>
      <c r="DE143" s="161"/>
      <c r="DF143" s="161"/>
      <c r="DG143" s="161"/>
      <c r="DH143" s="161"/>
      <c r="DI143" s="161"/>
      <c r="DJ143" s="161"/>
      <c r="DK143" s="161"/>
      <c r="DL143" s="161"/>
      <c r="DM143" s="161"/>
      <c r="DN143" s="161"/>
      <c r="DO143" s="161"/>
      <c r="DP143" s="161"/>
      <c r="DQ143" s="161"/>
      <c r="DR143" s="161"/>
      <c r="DS143" s="161"/>
      <c r="DT143" s="161"/>
      <c r="DU143" s="161"/>
      <c r="DV143" s="161"/>
      <c r="DW143" s="161"/>
      <c r="DX143" s="161"/>
      <c r="DY143" s="161"/>
      <c r="DZ143" s="161"/>
      <c r="EA143" s="161"/>
      <c r="EB143" s="174"/>
    </row>
    <row r="144" spans="1:179">
      <c r="A144" s="76"/>
      <c r="BO144" s="161"/>
      <c r="BP144" s="161"/>
      <c r="BQ144" s="161"/>
      <c r="BR144" s="161"/>
      <c r="BS144" s="161"/>
      <c r="BT144" s="161"/>
      <c r="BU144" s="161"/>
      <c r="BV144" s="161"/>
      <c r="BW144" s="161"/>
      <c r="BX144" s="161"/>
      <c r="BY144" s="161"/>
      <c r="BZ144" s="161"/>
      <c r="CA144" s="161"/>
      <c r="CB144" s="161"/>
      <c r="CC144" s="161"/>
      <c r="CD144" s="161"/>
      <c r="CE144" s="161"/>
      <c r="CF144" s="161"/>
      <c r="CG144" s="161"/>
      <c r="CH144" s="161"/>
      <c r="CI144" s="161"/>
      <c r="CJ144" s="161"/>
      <c r="CK144" s="161"/>
      <c r="CL144" s="161"/>
      <c r="CM144" s="161"/>
      <c r="CN144" s="161"/>
      <c r="CO144" s="161"/>
      <c r="CP144" s="161"/>
      <c r="CQ144" s="161"/>
      <c r="CR144" s="161"/>
      <c r="CS144" s="161"/>
      <c r="CT144" s="161"/>
      <c r="CU144" s="161"/>
      <c r="CV144" s="161"/>
      <c r="CW144" s="161"/>
      <c r="CX144" s="161"/>
      <c r="CY144" s="161"/>
      <c r="CZ144" s="161"/>
      <c r="DA144" s="161"/>
      <c r="DB144" s="161"/>
      <c r="DC144" s="161"/>
      <c r="DD144" s="161"/>
      <c r="DE144" s="161"/>
      <c r="DF144" s="161"/>
      <c r="DG144" s="161"/>
      <c r="DH144" s="161"/>
      <c r="DI144" s="161"/>
      <c r="DJ144" s="161"/>
      <c r="DK144" s="161"/>
      <c r="DL144" s="161"/>
      <c r="DM144" s="161"/>
      <c r="DN144" s="161"/>
      <c r="DO144" s="161"/>
      <c r="DP144" s="161"/>
      <c r="DQ144" s="161"/>
      <c r="DR144" s="161"/>
      <c r="DS144" s="161"/>
      <c r="DT144" s="161"/>
      <c r="DU144" s="161"/>
      <c r="DV144" s="161"/>
      <c r="DW144" s="161"/>
      <c r="DX144" s="161"/>
      <c r="DY144" s="161"/>
      <c r="DZ144" s="161"/>
      <c r="EA144" s="161"/>
      <c r="EB144" s="174"/>
    </row>
    <row r="145" spans="1:132">
      <c r="A145" s="76"/>
      <c r="BO145" s="161"/>
      <c r="BP145" s="161"/>
      <c r="BQ145" s="161"/>
      <c r="BR145" s="161"/>
      <c r="BS145" s="161"/>
      <c r="BT145" s="161"/>
      <c r="BU145" s="161"/>
      <c r="BV145" s="161"/>
      <c r="BW145" s="161"/>
      <c r="BX145" s="161"/>
      <c r="BY145" s="161"/>
      <c r="BZ145" s="161"/>
      <c r="CA145" s="161"/>
      <c r="CB145" s="161"/>
      <c r="CC145" s="161"/>
      <c r="CD145" s="161"/>
      <c r="CE145" s="161"/>
      <c r="CF145" s="161"/>
      <c r="CG145" s="161"/>
      <c r="CH145" s="161"/>
      <c r="CI145" s="161"/>
      <c r="CJ145" s="161"/>
      <c r="CK145" s="161"/>
      <c r="CL145" s="161"/>
      <c r="CM145" s="161"/>
      <c r="CN145" s="161"/>
      <c r="CO145" s="161"/>
      <c r="CP145" s="161"/>
      <c r="CQ145" s="161"/>
      <c r="CR145" s="161"/>
      <c r="CS145" s="161"/>
      <c r="CT145" s="161"/>
      <c r="CU145" s="161"/>
      <c r="CV145" s="161"/>
      <c r="CW145" s="161"/>
      <c r="CX145" s="161"/>
      <c r="CY145" s="161"/>
      <c r="CZ145" s="161"/>
      <c r="DA145" s="161"/>
      <c r="DB145" s="161"/>
      <c r="DC145" s="161"/>
      <c r="DD145" s="161"/>
      <c r="DE145" s="161"/>
      <c r="DF145" s="161"/>
      <c r="DG145" s="161"/>
      <c r="DH145" s="161"/>
      <c r="DI145" s="161"/>
      <c r="DJ145" s="161"/>
      <c r="DK145" s="161"/>
      <c r="DL145" s="161"/>
      <c r="DM145" s="161"/>
      <c r="DN145" s="161"/>
      <c r="DO145" s="161"/>
      <c r="DP145" s="161"/>
      <c r="DQ145" s="161"/>
      <c r="DR145" s="161"/>
      <c r="DS145" s="161"/>
      <c r="DT145" s="161"/>
      <c r="DU145" s="161"/>
      <c r="DV145" s="161"/>
      <c r="DW145" s="161"/>
      <c r="DX145" s="161"/>
      <c r="DY145" s="161"/>
      <c r="DZ145" s="161"/>
      <c r="EA145" s="161"/>
      <c r="EB145" s="174"/>
    </row>
    <row r="146" spans="1:132">
      <c r="A146" s="76"/>
      <c r="BO146" s="161"/>
      <c r="BP146" s="161"/>
      <c r="BQ146" s="161"/>
      <c r="BR146" s="161"/>
      <c r="BS146" s="161"/>
      <c r="BT146" s="161"/>
      <c r="BU146" s="161"/>
      <c r="BV146" s="161"/>
      <c r="BW146" s="161"/>
      <c r="BX146" s="161"/>
      <c r="BY146" s="161"/>
      <c r="BZ146" s="161"/>
      <c r="CA146" s="161"/>
      <c r="CB146" s="161"/>
      <c r="CC146" s="161"/>
      <c r="CD146" s="161"/>
      <c r="CE146" s="161"/>
      <c r="CF146" s="161"/>
      <c r="CG146" s="161"/>
      <c r="CH146" s="161"/>
      <c r="CI146" s="161"/>
      <c r="CJ146" s="161"/>
      <c r="CK146" s="161"/>
      <c r="CL146" s="161"/>
      <c r="CM146" s="161"/>
      <c r="CN146" s="161"/>
      <c r="CO146" s="161"/>
      <c r="CP146" s="161"/>
      <c r="CQ146" s="161"/>
      <c r="CR146" s="161"/>
      <c r="CS146" s="161"/>
      <c r="CT146" s="161"/>
      <c r="CU146" s="161"/>
      <c r="CV146" s="161"/>
      <c r="CW146" s="161"/>
      <c r="CX146" s="161"/>
      <c r="CY146" s="161"/>
      <c r="CZ146" s="161"/>
      <c r="DA146" s="161"/>
      <c r="DB146" s="161"/>
      <c r="DC146" s="161"/>
      <c r="DD146" s="161"/>
      <c r="DE146" s="161"/>
      <c r="DF146" s="161"/>
      <c r="DG146" s="161"/>
      <c r="DH146" s="161"/>
      <c r="DI146" s="161"/>
      <c r="DJ146" s="161"/>
      <c r="DK146" s="161"/>
      <c r="DL146" s="161"/>
      <c r="DM146" s="161"/>
      <c r="DN146" s="161"/>
      <c r="DO146" s="161"/>
      <c r="DP146" s="161"/>
      <c r="DQ146" s="161"/>
      <c r="DR146" s="161"/>
      <c r="DS146" s="161"/>
      <c r="DT146" s="161"/>
      <c r="DU146" s="161"/>
      <c r="DV146" s="161"/>
      <c r="DW146" s="161"/>
      <c r="DX146" s="161"/>
      <c r="DY146" s="161"/>
      <c r="DZ146" s="161"/>
      <c r="EA146" s="161"/>
      <c r="EB146" s="174"/>
    </row>
    <row r="147" spans="1:132">
      <c r="A147" s="76"/>
      <c r="BO147" s="161"/>
      <c r="BP147" s="161"/>
      <c r="BQ147" s="161"/>
      <c r="BR147" s="161"/>
      <c r="BS147" s="161"/>
      <c r="BT147" s="161"/>
      <c r="BU147" s="161"/>
      <c r="BV147" s="161"/>
      <c r="BW147" s="161"/>
      <c r="BX147" s="161"/>
      <c r="BY147" s="161"/>
      <c r="BZ147" s="161"/>
      <c r="CA147" s="161"/>
      <c r="CB147" s="161"/>
      <c r="CC147" s="161"/>
      <c r="CD147" s="161"/>
      <c r="CE147" s="161"/>
      <c r="CF147" s="161"/>
      <c r="CG147" s="161"/>
      <c r="CH147" s="161"/>
      <c r="CI147" s="161"/>
      <c r="CJ147" s="161"/>
      <c r="CK147" s="161"/>
      <c r="CL147" s="161"/>
      <c r="CM147" s="161"/>
      <c r="CN147" s="161"/>
      <c r="CO147" s="161"/>
      <c r="CP147" s="161"/>
      <c r="CQ147" s="161"/>
      <c r="CR147" s="161"/>
      <c r="CS147" s="161"/>
      <c r="CT147" s="161"/>
      <c r="CU147" s="161"/>
      <c r="CV147" s="161"/>
      <c r="CW147" s="161"/>
      <c r="CX147" s="161"/>
      <c r="CY147" s="161"/>
      <c r="CZ147" s="161"/>
      <c r="DA147" s="161"/>
      <c r="DB147" s="161"/>
      <c r="DC147" s="161"/>
      <c r="DD147" s="161"/>
      <c r="DE147" s="161"/>
      <c r="DF147" s="161"/>
      <c r="DG147" s="161"/>
      <c r="DH147" s="161"/>
      <c r="DI147" s="161"/>
      <c r="DJ147" s="161"/>
      <c r="DK147" s="161"/>
      <c r="DL147" s="161"/>
      <c r="DM147" s="161"/>
      <c r="DN147" s="161"/>
      <c r="DO147" s="161"/>
      <c r="DP147" s="161"/>
      <c r="DQ147" s="161"/>
      <c r="DR147" s="161"/>
      <c r="DS147" s="161"/>
      <c r="DT147" s="161"/>
      <c r="DU147" s="161"/>
      <c r="DV147" s="161"/>
      <c r="DW147" s="161"/>
      <c r="DX147" s="161"/>
      <c r="DY147" s="161"/>
      <c r="DZ147" s="161"/>
      <c r="EA147" s="161"/>
      <c r="EB147" s="174"/>
    </row>
    <row r="148" spans="1:132">
      <c r="A148" s="76"/>
      <c r="BO148" s="161"/>
      <c r="BP148" s="161"/>
      <c r="BQ148" s="161"/>
      <c r="BR148" s="161"/>
      <c r="BS148" s="161"/>
      <c r="BT148" s="161"/>
      <c r="BU148" s="161"/>
      <c r="BV148" s="161"/>
      <c r="BW148" s="161"/>
      <c r="BX148" s="161"/>
      <c r="BY148" s="161"/>
      <c r="BZ148" s="161"/>
      <c r="CA148" s="161"/>
      <c r="CB148" s="161"/>
      <c r="CC148" s="161"/>
      <c r="CD148" s="161"/>
      <c r="CE148" s="161"/>
      <c r="CF148" s="161"/>
      <c r="CG148" s="161"/>
      <c r="CH148" s="161"/>
      <c r="CI148" s="161"/>
      <c r="CJ148" s="161"/>
      <c r="CK148" s="161"/>
      <c r="CL148" s="161"/>
      <c r="CM148" s="161"/>
      <c r="CN148" s="161"/>
      <c r="CO148" s="161"/>
      <c r="CP148" s="161"/>
      <c r="CQ148" s="161"/>
      <c r="CR148" s="161"/>
      <c r="CS148" s="161"/>
      <c r="CT148" s="161"/>
      <c r="CU148" s="161"/>
      <c r="CV148" s="161"/>
      <c r="CW148" s="161"/>
      <c r="CX148" s="161"/>
      <c r="CY148" s="161"/>
      <c r="CZ148" s="161"/>
      <c r="DA148" s="161"/>
      <c r="DB148" s="161"/>
      <c r="DC148" s="161"/>
      <c r="DD148" s="161"/>
      <c r="DE148" s="161"/>
      <c r="DF148" s="161"/>
      <c r="DG148" s="161"/>
      <c r="DH148" s="161"/>
      <c r="DI148" s="161"/>
      <c r="DJ148" s="161"/>
      <c r="DK148" s="161"/>
      <c r="DL148" s="161"/>
      <c r="DM148" s="161"/>
      <c r="DN148" s="161"/>
      <c r="DO148" s="161"/>
      <c r="DP148" s="161"/>
      <c r="DQ148" s="161"/>
      <c r="DR148" s="161"/>
      <c r="DS148" s="161"/>
      <c r="DT148" s="161"/>
      <c r="DU148" s="161"/>
      <c r="DV148" s="161"/>
      <c r="DW148" s="161"/>
      <c r="DX148" s="161"/>
      <c r="DY148" s="161"/>
      <c r="DZ148" s="161"/>
      <c r="EA148" s="161"/>
      <c r="EB148" s="174"/>
    </row>
    <row r="149" spans="1:132">
      <c r="A149" s="76"/>
      <c r="BO149" s="161"/>
      <c r="BP149" s="161"/>
      <c r="BQ149" s="161"/>
      <c r="BR149" s="161"/>
      <c r="BS149" s="161"/>
      <c r="BT149" s="161"/>
      <c r="BU149" s="161"/>
      <c r="BV149" s="161"/>
      <c r="BW149" s="161"/>
      <c r="BX149" s="161"/>
      <c r="BY149" s="161"/>
      <c r="BZ149" s="161"/>
      <c r="CA149" s="161"/>
      <c r="CB149" s="161"/>
      <c r="CC149" s="161"/>
      <c r="CD149" s="161"/>
      <c r="CE149" s="161"/>
      <c r="CF149" s="161"/>
      <c r="CG149" s="161"/>
      <c r="CH149" s="161"/>
      <c r="CI149" s="161"/>
      <c r="CJ149" s="161"/>
      <c r="CK149" s="161"/>
      <c r="CL149" s="161"/>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61"/>
      <c r="DJ149" s="161"/>
      <c r="DK149" s="161"/>
      <c r="DL149" s="161"/>
      <c r="DM149" s="161"/>
      <c r="DN149" s="161"/>
      <c r="DO149" s="161"/>
      <c r="DP149" s="161"/>
      <c r="DQ149" s="161"/>
      <c r="DR149" s="161"/>
      <c r="DS149" s="161"/>
      <c r="DT149" s="161"/>
      <c r="DU149" s="161"/>
      <c r="DV149" s="161"/>
      <c r="DW149" s="161"/>
      <c r="DX149" s="161"/>
      <c r="DY149" s="161"/>
      <c r="DZ149" s="161"/>
      <c r="EA149" s="161"/>
      <c r="EB149" s="174"/>
    </row>
    <row r="150" spans="1:132">
      <c r="A150" s="76"/>
      <c r="BO150" s="161"/>
      <c r="BP150" s="161"/>
      <c r="BQ150" s="161"/>
      <c r="BR150" s="161"/>
      <c r="BS150" s="161"/>
      <c r="BT150" s="161"/>
      <c r="BU150" s="161"/>
      <c r="BV150" s="161"/>
      <c r="BW150" s="161"/>
      <c r="BX150" s="161"/>
      <c r="BY150" s="161"/>
      <c r="BZ150" s="161"/>
      <c r="CA150" s="161"/>
      <c r="CB150" s="161"/>
      <c r="CC150" s="161"/>
      <c r="CD150" s="161"/>
      <c r="CE150" s="161"/>
      <c r="CF150" s="161"/>
      <c r="CG150" s="161"/>
      <c r="CH150" s="161"/>
      <c r="CI150" s="161"/>
      <c r="CJ150" s="161"/>
      <c r="CK150" s="161"/>
      <c r="CL150" s="161"/>
      <c r="CM150" s="161"/>
      <c r="CN150" s="161"/>
      <c r="CO150" s="161"/>
      <c r="CP150" s="161"/>
      <c r="CQ150" s="161"/>
      <c r="CR150" s="161"/>
      <c r="CS150" s="161"/>
      <c r="CT150" s="161"/>
      <c r="CU150" s="161"/>
      <c r="CV150" s="161"/>
      <c r="CW150" s="161"/>
      <c r="CX150" s="161"/>
      <c r="CY150" s="161"/>
      <c r="CZ150" s="161"/>
      <c r="DA150" s="161"/>
      <c r="DB150" s="161"/>
      <c r="DC150" s="161"/>
      <c r="DD150" s="161"/>
      <c r="DE150" s="161"/>
      <c r="DF150" s="161"/>
      <c r="DG150" s="161"/>
      <c r="DH150" s="161"/>
      <c r="DI150" s="161"/>
      <c r="DJ150" s="161"/>
      <c r="DK150" s="161"/>
      <c r="DL150" s="161"/>
      <c r="DM150" s="161"/>
      <c r="DN150" s="161"/>
      <c r="DO150" s="161"/>
      <c r="DP150" s="161"/>
      <c r="DQ150" s="161"/>
      <c r="DR150" s="161"/>
      <c r="DS150" s="161"/>
      <c r="DT150" s="161"/>
      <c r="DU150" s="161"/>
      <c r="DV150" s="161"/>
      <c r="DW150" s="161"/>
      <c r="DX150" s="161"/>
      <c r="DY150" s="161"/>
      <c r="DZ150" s="161"/>
      <c r="EA150" s="161"/>
      <c r="EB150" s="174"/>
    </row>
    <row r="151" spans="1:132">
      <c r="A151" s="76"/>
      <c r="BO151" s="161"/>
      <c r="BP151" s="161"/>
      <c r="BQ151" s="161"/>
      <c r="BR151" s="161"/>
      <c r="BS151" s="161"/>
      <c r="BT151" s="161"/>
      <c r="BU151" s="161"/>
      <c r="BV151" s="161"/>
      <c r="BW151" s="161"/>
      <c r="BX151" s="161"/>
      <c r="BY151" s="161"/>
      <c r="BZ151" s="161"/>
      <c r="CA151" s="161"/>
      <c r="CB151" s="161"/>
      <c r="CC151" s="161"/>
      <c r="CD151" s="161"/>
      <c r="CE151" s="161"/>
      <c r="CF151" s="161"/>
      <c r="CG151" s="161"/>
      <c r="CH151" s="161"/>
      <c r="CI151" s="161"/>
      <c r="CJ151" s="161"/>
      <c r="CK151" s="161"/>
      <c r="CL151" s="161"/>
      <c r="CM151" s="161"/>
      <c r="CN151" s="161"/>
      <c r="CO151" s="161"/>
      <c r="CP151" s="161"/>
      <c r="CQ151" s="161"/>
      <c r="CR151" s="161"/>
      <c r="CS151" s="161"/>
      <c r="CT151" s="161"/>
      <c r="CU151" s="161"/>
      <c r="CV151" s="161"/>
      <c r="CW151" s="161"/>
      <c r="CX151" s="161"/>
      <c r="CY151" s="161"/>
      <c r="CZ151" s="161"/>
      <c r="DA151" s="161"/>
      <c r="DB151" s="161"/>
      <c r="DC151" s="161"/>
      <c r="DD151" s="161"/>
      <c r="DE151" s="161"/>
      <c r="DF151" s="161"/>
      <c r="DG151" s="161"/>
      <c r="DH151" s="161"/>
      <c r="DI151" s="161"/>
      <c r="DJ151" s="161"/>
      <c r="DK151" s="161"/>
      <c r="DL151" s="161"/>
      <c r="DM151" s="161"/>
      <c r="DN151" s="161"/>
      <c r="DO151" s="161"/>
      <c r="DP151" s="161"/>
      <c r="DQ151" s="161"/>
      <c r="DR151" s="161"/>
      <c r="DS151" s="161"/>
      <c r="DT151" s="161"/>
      <c r="DU151" s="161"/>
      <c r="DV151" s="161"/>
      <c r="DW151" s="161"/>
      <c r="DX151" s="161"/>
      <c r="DY151" s="161"/>
      <c r="DZ151" s="161"/>
      <c r="EA151" s="161"/>
      <c r="EB151" s="174"/>
    </row>
    <row r="152" spans="1:132">
      <c r="A152" s="76"/>
      <c r="BO152" s="161"/>
      <c r="BP152" s="161"/>
      <c r="BQ152" s="161"/>
      <c r="BR152" s="161"/>
      <c r="BS152" s="161"/>
      <c r="BT152" s="161"/>
      <c r="BU152" s="161"/>
      <c r="BV152" s="161"/>
      <c r="BW152" s="161"/>
      <c r="BX152" s="161"/>
      <c r="BY152" s="161"/>
      <c r="BZ152" s="161"/>
      <c r="CA152" s="161"/>
      <c r="CB152" s="161"/>
      <c r="CC152" s="161"/>
      <c r="CD152" s="161"/>
      <c r="CE152" s="161"/>
      <c r="CF152" s="161"/>
      <c r="CG152" s="161"/>
      <c r="CH152" s="161"/>
      <c r="CI152" s="161"/>
      <c r="CJ152" s="161"/>
      <c r="CK152" s="161"/>
      <c r="CL152" s="161"/>
      <c r="CM152" s="161"/>
      <c r="CN152" s="161"/>
      <c r="CO152" s="161"/>
      <c r="CP152" s="161"/>
      <c r="CQ152" s="161"/>
      <c r="CR152" s="161"/>
      <c r="CS152" s="161"/>
      <c r="CT152" s="161"/>
      <c r="CU152" s="161"/>
      <c r="CV152" s="161"/>
      <c r="CW152" s="161"/>
      <c r="CX152" s="161"/>
      <c r="CY152" s="161"/>
      <c r="CZ152" s="161"/>
      <c r="DA152" s="161"/>
      <c r="DB152" s="161"/>
      <c r="DC152" s="161"/>
      <c r="DD152" s="161"/>
      <c r="DE152" s="161"/>
      <c r="DF152" s="161"/>
      <c r="DG152" s="161"/>
      <c r="DH152" s="161"/>
      <c r="DI152" s="161"/>
      <c r="DJ152" s="161"/>
      <c r="DK152" s="161"/>
      <c r="DL152" s="161"/>
      <c r="DM152" s="161"/>
      <c r="DN152" s="161"/>
      <c r="DO152" s="161"/>
      <c r="DP152" s="161"/>
      <c r="DQ152" s="161"/>
      <c r="DR152" s="161"/>
      <c r="DS152" s="161"/>
      <c r="DT152" s="161"/>
      <c r="DU152" s="161"/>
      <c r="DV152" s="161"/>
      <c r="DW152" s="161"/>
      <c r="DX152" s="161"/>
      <c r="DY152" s="161"/>
      <c r="DZ152" s="161"/>
      <c r="EA152" s="161"/>
      <c r="EB152" s="174"/>
    </row>
    <row r="153" spans="1:132">
      <c r="A153" s="76"/>
      <c r="BO153" s="161"/>
      <c r="BP153" s="161"/>
      <c r="BQ153" s="161"/>
      <c r="BR153" s="161"/>
      <c r="BS153" s="161"/>
      <c r="BT153" s="161"/>
      <c r="BU153" s="161"/>
      <c r="BV153" s="161"/>
      <c r="BW153" s="161"/>
      <c r="BX153" s="161"/>
      <c r="BY153" s="161"/>
      <c r="BZ153" s="161"/>
      <c r="CA153" s="161"/>
      <c r="CB153" s="161"/>
      <c r="CC153" s="161"/>
      <c r="CD153" s="161"/>
      <c r="CE153" s="161"/>
      <c r="CF153" s="161"/>
      <c r="CG153" s="161"/>
      <c r="CH153" s="161"/>
      <c r="CI153" s="161"/>
      <c r="CJ153" s="161"/>
      <c r="CK153" s="161"/>
      <c r="CL153" s="161"/>
      <c r="CM153" s="161"/>
      <c r="CN153" s="161"/>
      <c r="CO153" s="161"/>
      <c r="CP153" s="161"/>
      <c r="CQ153" s="161"/>
      <c r="CR153" s="161"/>
      <c r="CS153" s="161"/>
      <c r="CT153" s="161"/>
      <c r="CU153" s="161"/>
      <c r="CV153" s="161"/>
      <c r="CW153" s="161"/>
      <c r="CX153" s="161"/>
      <c r="CY153" s="161"/>
      <c r="CZ153" s="161"/>
      <c r="DA153" s="161"/>
      <c r="DB153" s="161"/>
      <c r="DC153" s="161"/>
      <c r="DD153" s="161"/>
      <c r="DE153" s="161"/>
      <c r="DF153" s="161"/>
      <c r="DG153" s="161"/>
      <c r="DH153" s="161"/>
      <c r="DI153" s="161"/>
      <c r="DJ153" s="161"/>
      <c r="DK153" s="161"/>
      <c r="DL153" s="161"/>
      <c r="DM153" s="161"/>
      <c r="DN153" s="161"/>
      <c r="DO153" s="161"/>
      <c r="DP153" s="161"/>
      <c r="DQ153" s="161"/>
      <c r="DR153" s="161"/>
      <c r="DS153" s="161"/>
      <c r="DT153" s="161"/>
      <c r="DU153" s="161"/>
      <c r="DV153" s="161"/>
      <c r="DW153" s="161"/>
      <c r="DX153" s="161"/>
      <c r="DY153" s="161"/>
      <c r="DZ153" s="161"/>
      <c r="EA153" s="161"/>
      <c r="EB153" s="174"/>
    </row>
    <row r="154" spans="1:132">
      <c r="A154" s="76"/>
      <c r="BO154" s="161"/>
      <c r="BP154" s="161"/>
      <c r="BQ154" s="161"/>
      <c r="BR154" s="161"/>
      <c r="BS154" s="161"/>
      <c r="BT154" s="161"/>
      <c r="BU154" s="161"/>
      <c r="BV154" s="161"/>
      <c r="BW154" s="161"/>
      <c r="BX154" s="161"/>
      <c r="BY154" s="161"/>
      <c r="BZ154" s="161"/>
      <c r="CA154" s="161"/>
      <c r="CB154" s="161"/>
      <c r="CC154" s="161"/>
      <c r="CD154" s="161"/>
      <c r="CE154" s="161"/>
      <c r="CF154" s="161"/>
      <c r="CG154" s="161"/>
      <c r="CH154" s="161"/>
      <c r="CI154" s="161"/>
      <c r="CJ154" s="161"/>
      <c r="CK154" s="161"/>
      <c r="CL154" s="161"/>
      <c r="CM154" s="161"/>
      <c r="CN154" s="161"/>
      <c r="CO154" s="161"/>
      <c r="CP154" s="161"/>
      <c r="CQ154" s="161"/>
      <c r="CR154" s="161"/>
      <c r="CS154" s="161"/>
      <c r="CT154" s="161"/>
      <c r="CU154" s="161"/>
      <c r="CV154" s="161"/>
      <c r="CW154" s="161"/>
      <c r="CX154" s="161"/>
      <c r="CY154" s="161"/>
      <c r="CZ154" s="161"/>
      <c r="DA154" s="161"/>
      <c r="DB154" s="161"/>
      <c r="DC154" s="161"/>
      <c r="DD154" s="161"/>
      <c r="DE154" s="161"/>
      <c r="DF154" s="161"/>
      <c r="DG154" s="161"/>
      <c r="DH154" s="161"/>
      <c r="DI154" s="161"/>
      <c r="DJ154" s="161"/>
      <c r="DK154" s="161"/>
      <c r="DL154" s="161"/>
      <c r="DM154" s="161"/>
      <c r="DN154" s="161"/>
      <c r="DO154" s="161"/>
      <c r="DP154" s="161"/>
      <c r="DQ154" s="161"/>
      <c r="DR154" s="161"/>
      <c r="DS154" s="161"/>
      <c r="DT154" s="161"/>
      <c r="DU154" s="161"/>
      <c r="DV154" s="161"/>
      <c r="DW154" s="161"/>
      <c r="DX154" s="161"/>
      <c r="DY154" s="161"/>
      <c r="DZ154" s="161"/>
      <c r="EA154" s="161"/>
      <c r="EB154" s="174"/>
    </row>
    <row r="155" spans="1:132">
      <c r="A155" s="76"/>
      <c r="BO155" s="161"/>
      <c r="BP155" s="161"/>
      <c r="BQ155" s="161"/>
      <c r="BR155" s="161"/>
      <c r="BS155" s="161"/>
      <c r="BT155" s="161"/>
      <c r="BU155" s="161"/>
      <c r="BV155" s="161"/>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c r="CQ155" s="161"/>
      <c r="CR155" s="161"/>
      <c r="CS155" s="161"/>
      <c r="CT155" s="161"/>
      <c r="CU155" s="161"/>
      <c r="CV155" s="161"/>
      <c r="CW155" s="161"/>
      <c r="CX155" s="161"/>
      <c r="CY155" s="161"/>
      <c r="CZ155" s="161"/>
      <c r="DA155" s="161"/>
      <c r="DB155" s="161"/>
      <c r="DC155" s="161"/>
      <c r="DD155" s="161"/>
      <c r="DE155" s="161"/>
      <c r="DF155" s="161"/>
      <c r="DG155" s="161"/>
      <c r="DH155" s="161"/>
      <c r="DI155" s="161"/>
      <c r="DJ155" s="161"/>
      <c r="DK155" s="161"/>
      <c r="DL155" s="161"/>
      <c r="DM155" s="161"/>
      <c r="DN155" s="161"/>
      <c r="DO155" s="161"/>
      <c r="DP155" s="161"/>
      <c r="DQ155" s="161"/>
      <c r="DR155" s="161"/>
      <c r="DS155" s="161"/>
      <c r="DT155" s="161"/>
      <c r="DU155" s="161"/>
      <c r="DV155" s="161"/>
      <c r="DW155" s="161"/>
      <c r="DX155" s="161"/>
      <c r="DY155" s="161"/>
      <c r="DZ155" s="161"/>
      <c r="EA155" s="161"/>
      <c r="EB155" s="174"/>
    </row>
    <row r="156" spans="1:132">
      <c r="A156" s="76"/>
      <c r="BO156" s="161"/>
      <c r="BP156" s="161"/>
      <c r="BQ156" s="161"/>
      <c r="BR156" s="161"/>
      <c r="BS156" s="161"/>
      <c r="BT156" s="161"/>
      <c r="BU156" s="161"/>
      <c r="BV156" s="161"/>
      <c r="BW156" s="161"/>
      <c r="BX156" s="161"/>
      <c r="BY156" s="161"/>
      <c r="BZ156" s="161"/>
      <c r="CA156" s="161"/>
      <c r="CB156" s="161"/>
      <c r="CC156" s="161"/>
      <c r="CD156" s="161"/>
      <c r="CE156" s="161"/>
      <c r="CF156" s="161"/>
      <c r="CG156" s="161"/>
      <c r="CH156" s="161"/>
      <c r="CI156" s="161"/>
      <c r="CJ156" s="161"/>
      <c r="CK156" s="161"/>
      <c r="CL156" s="161"/>
      <c r="CM156" s="161"/>
      <c r="CN156" s="161"/>
      <c r="CO156" s="161"/>
      <c r="CP156" s="161"/>
      <c r="CQ156" s="161"/>
      <c r="CR156" s="161"/>
      <c r="CS156" s="161"/>
      <c r="CT156" s="161"/>
      <c r="CU156" s="161"/>
      <c r="CV156" s="161"/>
      <c r="CW156" s="161"/>
      <c r="CX156" s="161"/>
      <c r="CY156" s="161"/>
      <c r="CZ156" s="161"/>
      <c r="DA156" s="161"/>
      <c r="DB156" s="161"/>
      <c r="DC156" s="161"/>
      <c r="DD156" s="161"/>
      <c r="DE156" s="161"/>
      <c r="DF156" s="161"/>
      <c r="DG156" s="161"/>
      <c r="DH156" s="161"/>
      <c r="DI156" s="161"/>
      <c r="DJ156" s="161"/>
      <c r="DK156" s="161"/>
      <c r="DL156" s="161"/>
      <c r="DM156" s="161"/>
      <c r="DN156" s="161"/>
      <c r="DO156" s="161"/>
      <c r="DP156" s="161"/>
      <c r="DQ156" s="161"/>
      <c r="DR156" s="161"/>
      <c r="DS156" s="161"/>
      <c r="DT156" s="161"/>
      <c r="DU156" s="161"/>
      <c r="DV156" s="161"/>
      <c r="DW156" s="161"/>
      <c r="DX156" s="161"/>
      <c r="DY156" s="161"/>
      <c r="DZ156" s="161"/>
      <c r="EA156" s="161"/>
      <c r="EB156" s="174"/>
    </row>
    <row r="157" spans="1:132">
      <c r="A157" s="76"/>
      <c r="BO157" s="161"/>
      <c r="BP157" s="161"/>
      <c r="BQ157" s="161"/>
      <c r="BR157" s="161"/>
      <c r="BS157" s="161"/>
      <c r="BT157" s="161"/>
      <c r="BU157" s="161"/>
      <c r="BV157" s="161"/>
      <c r="BW157" s="161"/>
      <c r="BX157" s="161"/>
      <c r="BY157" s="161"/>
      <c r="BZ157" s="161"/>
      <c r="CA157" s="161"/>
      <c r="CB157" s="161"/>
      <c r="CC157" s="161"/>
      <c r="CD157" s="161"/>
      <c r="CE157" s="161"/>
      <c r="CF157" s="161"/>
      <c r="CG157" s="161"/>
      <c r="CH157" s="161"/>
      <c r="CI157" s="161"/>
      <c r="CJ157" s="161"/>
      <c r="CK157" s="161"/>
      <c r="CL157" s="161"/>
      <c r="CM157" s="161"/>
      <c r="CN157" s="161"/>
      <c r="CO157" s="161"/>
      <c r="CP157" s="161"/>
      <c r="CQ157" s="161"/>
      <c r="CR157" s="161"/>
      <c r="CS157" s="161"/>
      <c r="CT157" s="161"/>
      <c r="CU157" s="161"/>
      <c r="CV157" s="161"/>
      <c r="CW157" s="161"/>
      <c r="CX157" s="161"/>
      <c r="CY157" s="161"/>
      <c r="CZ157" s="161"/>
      <c r="DA157" s="161"/>
      <c r="DB157" s="161"/>
      <c r="DC157" s="161"/>
      <c r="DD157" s="161"/>
      <c r="DE157" s="161"/>
      <c r="DF157" s="161"/>
      <c r="DG157" s="161"/>
      <c r="DH157" s="161"/>
      <c r="DI157" s="161"/>
      <c r="DJ157" s="161"/>
      <c r="DK157" s="161"/>
      <c r="DL157" s="161"/>
      <c r="DM157" s="161"/>
      <c r="DN157" s="161"/>
      <c r="DO157" s="161"/>
      <c r="DP157" s="161"/>
      <c r="DQ157" s="161"/>
      <c r="DR157" s="161"/>
      <c r="DS157" s="161"/>
      <c r="DT157" s="161"/>
      <c r="DU157" s="161"/>
      <c r="DV157" s="161"/>
      <c r="DW157" s="161"/>
      <c r="DX157" s="161"/>
      <c r="DY157" s="161"/>
      <c r="DZ157" s="161"/>
      <c r="EA157" s="161"/>
      <c r="EB157" s="174"/>
    </row>
    <row r="158" spans="1:132">
      <c r="A158" s="76"/>
      <c r="BO158" s="161"/>
      <c r="BP158" s="161"/>
      <c r="BQ158" s="161"/>
      <c r="BR158" s="161"/>
      <c r="BS158" s="161"/>
      <c r="BT158" s="161"/>
      <c r="BU158" s="161"/>
      <c r="BV158" s="161"/>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161"/>
      <c r="DO158" s="161"/>
      <c r="DP158" s="161"/>
      <c r="DQ158" s="161"/>
      <c r="DR158" s="161"/>
      <c r="DS158" s="161"/>
      <c r="DT158" s="161"/>
      <c r="DU158" s="161"/>
      <c r="DV158" s="161"/>
      <c r="DW158" s="161"/>
      <c r="DX158" s="161"/>
      <c r="DY158" s="161"/>
      <c r="DZ158" s="161"/>
      <c r="EA158" s="161"/>
      <c r="EB158" s="174"/>
    </row>
    <row r="159" spans="1:132">
      <c r="A159" s="76"/>
      <c r="BO159" s="161"/>
      <c r="BP159" s="161"/>
      <c r="BQ159" s="161"/>
      <c r="BR159" s="161"/>
      <c r="BS159" s="161"/>
      <c r="BT159" s="161"/>
      <c r="BU159" s="161"/>
      <c r="BV159" s="161"/>
      <c r="BW159" s="161"/>
      <c r="BX159" s="161"/>
      <c r="BY159" s="161"/>
      <c r="BZ159" s="161"/>
      <c r="CA159" s="161"/>
      <c r="CB159" s="161"/>
      <c r="CC159" s="161"/>
      <c r="CD159" s="161"/>
      <c r="CE159" s="161"/>
      <c r="CF159" s="161"/>
      <c r="CG159" s="161"/>
      <c r="CH159" s="161"/>
      <c r="CI159" s="161"/>
      <c r="CJ159" s="161"/>
      <c r="CK159" s="161"/>
      <c r="CL159" s="161"/>
      <c r="CM159" s="161"/>
      <c r="CN159" s="161"/>
      <c r="CO159" s="161"/>
      <c r="CP159" s="161"/>
      <c r="CQ159" s="161"/>
      <c r="CR159" s="161"/>
      <c r="CS159" s="161"/>
      <c r="CT159" s="161"/>
      <c r="CU159" s="161"/>
      <c r="CV159" s="161"/>
      <c r="CW159" s="161"/>
      <c r="CX159" s="161"/>
      <c r="CY159" s="161"/>
      <c r="CZ159" s="161"/>
      <c r="DA159" s="161"/>
      <c r="DB159" s="161"/>
      <c r="DC159" s="161"/>
      <c r="DD159" s="161"/>
      <c r="DE159" s="161"/>
      <c r="DF159" s="161"/>
      <c r="DG159" s="161"/>
      <c r="DH159" s="161"/>
      <c r="DI159" s="161"/>
      <c r="DJ159" s="161"/>
      <c r="DK159" s="161"/>
      <c r="DL159" s="161"/>
      <c r="DM159" s="161"/>
      <c r="DN159" s="161"/>
      <c r="DO159" s="161"/>
      <c r="DP159" s="161"/>
      <c r="DQ159" s="161"/>
      <c r="DR159" s="161"/>
      <c r="DS159" s="161"/>
      <c r="DT159" s="161"/>
      <c r="DU159" s="161"/>
      <c r="DV159" s="161"/>
      <c r="DW159" s="161"/>
      <c r="DX159" s="161"/>
      <c r="DY159" s="161"/>
      <c r="DZ159" s="161"/>
      <c r="EA159" s="161"/>
      <c r="EB159" s="174"/>
    </row>
    <row r="160" spans="1:132">
      <c r="A160" s="76"/>
      <c r="BO160" s="161"/>
      <c r="BP160" s="161"/>
      <c r="BQ160" s="161"/>
      <c r="BR160" s="161"/>
      <c r="BS160" s="161"/>
      <c r="BT160" s="161"/>
      <c r="BU160" s="161"/>
      <c r="BV160" s="161"/>
      <c r="BW160" s="161"/>
      <c r="BX160" s="161"/>
      <c r="BY160" s="161"/>
      <c r="BZ160" s="161"/>
      <c r="CA160" s="161"/>
      <c r="CB160" s="161"/>
      <c r="CC160" s="161"/>
      <c r="CD160" s="161"/>
      <c r="CE160" s="161"/>
      <c r="CF160" s="161"/>
      <c r="CG160" s="161"/>
      <c r="CH160" s="161"/>
      <c r="CI160" s="161"/>
      <c r="CJ160" s="161"/>
      <c r="CK160" s="161"/>
      <c r="CL160" s="161"/>
      <c r="CM160" s="161"/>
      <c r="CN160" s="161"/>
      <c r="CO160" s="161"/>
      <c r="CP160" s="161"/>
      <c r="CQ160" s="161"/>
      <c r="CR160" s="161"/>
      <c r="CS160" s="161"/>
      <c r="CT160" s="161"/>
      <c r="CU160" s="161"/>
      <c r="CV160" s="161"/>
      <c r="CW160" s="161"/>
      <c r="CX160" s="161"/>
      <c r="CY160" s="161"/>
      <c r="CZ160" s="161"/>
      <c r="DA160" s="161"/>
      <c r="DB160" s="161"/>
      <c r="DC160" s="161"/>
      <c r="DD160" s="161"/>
      <c r="DE160" s="161"/>
      <c r="DF160" s="161"/>
      <c r="DG160" s="161"/>
      <c r="DH160" s="161"/>
      <c r="DI160" s="161"/>
      <c r="DJ160" s="161"/>
      <c r="DK160" s="161"/>
      <c r="DL160" s="161"/>
      <c r="DM160" s="161"/>
      <c r="DN160" s="161"/>
      <c r="DO160" s="161"/>
      <c r="DP160" s="161"/>
      <c r="DQ160" s="161"/>
      <c r="DR160" s="161"/>
      <c r="DS160" s="161"/>
      <c r="DT160" s="161"/>
      <c r="DU160" s="161"/>
      <c r="DV160" s="161"/>
      <c r="DW160" s="161"/>
      <c r="DX160" s="161"/>
      <c r="DY160" s="161"/>
      <c r="DZ160" s="161"/>
      <c r="EA160" s="161"/>
      <c r="EB160" s="174"/>
    </row>
    <row r="161" spans="1:132">
      <c r="A161" s="76"/>
      <c r="BO161" s="161"/>
      <c r="BP161" s="161"/>
      <c r="BQ161" s="161"/>
      <c r="BR161" s="161"/>
      <c r="BS161" s="161"/>
      <c r="BT161" s="161"/>
      <c r="BU161" s="161"/>
      <c r="BV161" s="161"/>
      <c r="BW161" s="161"/>
      <c r="BX161" s="161"/>
      <c r="BY161" s="161"/>
      <c r="BZ161" s="161"/>
      <c r="CA161" s="161"/>
      <c r="CB161" s="161"/>
      <c r="CC161" s="161"/>
      <c r="CD161" s="161"/>
      <c r="CE161" s="161"/>
      <c r="CF161" s="161"/>
      <c r="CG161" s="161"/>
      <c r="CH161" s="161"/>
      <c r="CI161" s="161"/>
      <c r="CJ161" s="161"/>
      <c r="CK161" s="161"/>
      <c r="CL161" s="161"/>
      <c r="CM161" s="161"/>
      <c r="CN161" s="161"/>
      <c r="CO161" s="161"/>
      <c r="CP161" s="161"/>
      <c r="CQ161" s="161"/>
      <c r="CR161" s="161"/>
      <c r="CS161" s="161"/>
      <c r="CT161" s="161"/>
      <c r="CU161" s="161"/>
      <c r="CV161" s="161"/>
      <c r="CW161" s="161"/>
      <c r="CX161" s="161"/>
      <c r="CY161" s="161"/>
      <c r="CZ161" s="161"/>
      <c r="DA161" s="161"/>
      <c r="DB161" s="161"/>
      <c r="DC161" s="161"/>
      <c r="DD161" s="161"/>
      <c r="DE161" s="161"/>
      <c r="DF161" s="161"/>
      <c r="DG161" s="161"/>
      <c r="DH161" s="161"/>
      <c r="DI161" s="161"/>
      <c r="DJ161" s="161"/>
      <c r="DK161" s="161"/>
      <c r="DL161" s="161"/>
      <c r="DM161" s="161"/>
      <c r="DN161" s="161"/>
      <c r="DO161" s="161"/>
      <c r="DP161" s="161"/>
      <c r="DQ161" s="161"/>
      <c r="DR161" s="161"/>
      <c r="DS161" s="161"/>
      <c r="DT161" s="161"/>
      <c r="DU161" s="161"/>
      <c r="DV161" s="161"/>
      <c r="DW161" s="161"/>
      <c r="DX161" s="161"/>
      <c r="DY161" s="161"/>
      <c r="DZ161" s="161"/>
      <c r="EA161" s="161"/>
      <c r="EB161" s="174"/>
    </row>
    <row r="162" spans="1:132">
      <c r="A162" s="76"/>
      <c r="BO162" s="161"/>
      <c r="BP162" s="161"/>
      <c r="BQ162" s="161"/>
      <c r="BR162" s="161"/>
      <c r="BS162" s="161"/>
      <c r="BT162" s="161"/>
      <c r="BU162" s="161"/>
      <c r="BV162" s="161"/>
      <c r="BW162" s="161"/>
      <c r="BX162" s="161"/>
      <c r="BY162" s="161"/>
      <c r="BZ162" s="161"/>
      <c r="CA162" s="161"/>
      <c r="CB162" s="161"/>
      <c r="CC162" s="161"/>
      <c r="CD162" s="161"/>
      <c r="CE162" s="161"/>
      <c r="CF162" s="161"/>
      <c r="CG162" s="161"/>
      <c r="CH162" s="161"/>
      <c r="CI162" s="161"/>
      <c r="CJ162" s="161"/>
      <c r="CK162" s="161"/>
      <c r="CL162" s="161"/>
      <c r="CM162" s="161"/>
      <c r="CN162" s="161"/>
      <c r="CO162" s="161"/>
      <c r="CP162" s="161"/>
      <c r="CQ162" s="161"/>
      <c r="CR162" s="161"/>
      <c r="CS162" s="161"/>
      <c r="CT162" s="161"/>
      <c r="CU162" s="161"/>
      <c r="CV162" s="161"/>
      <c r="CW162" s="161"/>
      <c r="CX162" s="161"/>
      <c r="CY162" s="161"/>
      <c r="CZ162" s="161"/>
      <c r="DA162" s="161"/>
      <c r="DB162" s="161"/>
      <c r="DC162" s="161"/>
      <c r="DD162" s="161"/>
      <c r="DE162" s="161"/>
      <c r="DF162" s="161"/>
      <c r="DG162" s="161"/>
      <c r="DH162" s="161"/>
      <c r="DI162" s="161"/>
      <c r="DJ162" s="161"/>
      <c r="DK162" s="161"/>
      <c r="DL162" s="161"/>
      <c r="DM162" s="161"/>
      <c r="DN162" s="161"/>
      <c r="DO162" s="161"/>
      <c r="DP162" s="161"/>
      <c r="DQ162" s="161"/>
      <c r="DR162" s="161"/>
      <c r="DS162" s="161"/>
      <c r="DT162" s="161"/>
      <c r="DU162" s="161"/>
      <c r="DV162" s="161"/>
      <c r="DW162" s="161"/>
      <c r="DX162" s="161"/>
      <c r="DY162" s="161"/>
      <c r="DZ162" s="161"/>
      <c r="EA162" s="161"/>
      <c r="EB162" s="174"/>
    </row>
    <row r="163" spans="1:132">
      <c r="A163" s="76"/>
      <c r="BO163" s="161"/>
      <c r="BP163" s="161"/>
      <c r="BQ163" s="161"/>
      <c r="BR163" s="161"/>
      <c r="BS163" s="161"/>
      <c r="BT163" s="161"/>
      <c r="BU163" s="161"/>
      <c r="BV163" s="161"/>
      <c r="BW163" s="161"/>
      <c r="BX163" s="161"/>
      <c r="BY163" s="161"/>
      <c r="BZ163" s="161"/>
      <c r="CA163" s="161"/>
      <c r="CB163" s="161"/>
      <c r="CC163" s="161"/>
      <c r="CD163" s="161"/>
      <c r="CE163" s="161"/>
      <c r="CF163" s="161"/>
      <c r="CG163" s="161"/>
      <c r="CH163" s="161"/>
      <c r="CI163" s="161"/>
      <c r="CJ163" s="161"/>
      <c r="CK163" s="161"/>
      <c r="CL163" s="161"/>
      <c r="CM163" s="161"/>
      <c r="CN163" s="161"/>
      <c r="CO163" s="161"/>
      <c r="CP163" s="161"/>
      <c r="CQ163" s="161"/>
      <c r="CR163" s="161"/>
      <c r="CS163" s="161"/>
      <c r="CT163" s="161"/>
      <c r="CU163" s="161"/>
      <c r="CV163" s="161"/>
      <c r="CW163" s="161"/>
      <c r="CX163" s="161"/>
      <c r="CY163" s="161"/>
      <c r="CZ163" s="161"/>
      <c r="DA163" s="161"/>
      <c r="DB163" s="161"/>
      <c r="DC163" s="161"/>
      <c r="DD163" s="161"/>
      <c r="DE163" s="161"/>
      <c r="DF163" s="161"/>
      <c r="DG163" s="161"/>
      <c r="DH163" s="161"/>
      <c r="DI163" s="161"/>
      <c r="DJ163" s="161"/>
      <c r="DK163" s="161"/>
      <c r="DL163" s="161"/>
      <c r="DM163" s="161"/>
      <c r="DN163" s="161"/>
      <c r="DO163" s="161"/>
      <c r="DP163" s="161"/>
      <c r="DQ163" s="161"/>
      <c r="DR163" s="161"/>
      <c r="DS163" s="161"/>
      <c r="DT163" s="161"/>
      <c r="DU163" s="161"/>
      <c r="DV163" s="161"/>
      <c r="DW163" s="161"/>
      <c r="DX163" s="161"/>
      <c r="DY163" s="161"/>
      <c r="DZ163" s="161"/>
      <c r="EA163" s="161"/>
      <c r="EB163" s="174"/>
    </row>
    <row r="164" spans="1:132">
      <c r="A164" s="76"/>
      <c r="BO164" s="161"/>
      <c r="BP164" s="161"/>
      <c r="BQ164" s="161"/>
      <c r="BR164" s="161"/>
      <c r="BS164" s="161"/>
      <c r="BT164" s="161"/>
      <c r="BU164" s="161"/>
      <c r="BV164" s="161"/>
      <c r="BW164" s="161"/>
      <c r="BX164" s="161"/>
      <c r="BY164" s="161"/>
      <c r="BZ164" s="161"/>
      <c r="CA164" s="161"/>
      <c r="CB164" s="161"/>
      <c r="CC164" s="161"/>
      <c r="CD164" s="161"/>
      <c r="CE164" s="161"/>
      <c r="CF164" s="161"/>
      <c r="CG164" s="161"/>
      <c r="CH164" s="161"/>
      <c r="CI164" s="161"/>
      <c r="CJ164" s="161"/>
      <c r="CK164" s="161"/>
      <c r="CL164" s="161"/>
      <c r="CM164" s="161"/>
      <c r="CN164" s="161"/>
      <c r="CO164" s="161"/>
      <c r="CP164" s="161"/>
      <c r="CQ164" s="161"/>
      <c r="CR164" s="161"/>
      <c r="CS164" s="161"/>
      <c r="CT164" s="161"/>
      <c r="CU164" s="161"/>
      <c r="CV164" s="161"/>
      <c r="CW164" s="161"/>
      <c r="CX164" s="161"/>
      <c r="CY164" s="161"/>
      <c r="CZ164" s="161"/>
      <c r="DA164" s="161"/>
      <c r="DB164" s="161"/>
      <c r="DC164" s="161"/>
      <c r="DD164" s="161"/>
      <c r="DE164" s="161"/>
      <c r="DF164" s="161"/>
      <c r="DG164" s="161"/>
      <c r="DH164" s="161"/>
      <c r="DI164" s="161"/>
      <c r="DJ164" s="161"/>
      <c r="DK164" s="161"/>
      <c r="DL164" s="161"/>
      <c r="DM164" s="161"/>
      <c r="DN164" s="161"/>
      <c r="DO164" s="161"/>
      <c r="DP164" s="161"/>
      <c r="DQ164" s="161"/>
      <c r="DR164" s="161"/>
      <c r="DS164" s="161"/>
      <c r="DT164" s="161"/>
      <c r="DU164" s="161"/>
      <c r="DV164" s="161"/>
      <c r="DW164" s="161"/>
      <c r="DX164" s="161"/>
      <c r="DY164" s="161"/>
      <c r="DZ164" s="161"/>
      <c r="EA164" s="161"/>
      <c r="EB164" s="174"/>
    </row>
    <row r="165" spans="1:132">
      <c r="A165" s="76"/>
      <c r="BO165" s="161"/>
      <c r="BP165" s="161"/>
      <c r="BQ165" s="161"/>
      <c r="BR165" s="161"/>
      <c r="BS165" s="161"/>
      <c r="BT165" s="161"/>
      <c r="BU165" s="161"/>
      <c r="BV165" s="161"/>
      <c r="BW165" s="161"/>
      <c r="BX165" s="161"/>
      <c r="BY165" s="161"/>
      <c r="BZ165" s="161"/>
      <c r="CA165" s="161"/>
      <c r="CB165" s="161"/>
      <c r="CC165" s="161"/>
      <c r="CD165" s="161"/>
      <c r="CE165" s="161"/>
      <c r="CF165" s="161"/>
      <c r="CG165" s="161"/>
      <c r="CH165" s="161"/>
      <c r="CI165" s="161"/>
      <c r="CJ165" s="161"/>
      <c r="CK165" s="161"/>
      <c r="CL165" s="161"/>
      <c r="CM165" s="161"/>
      <c r="CN165" s="161"/>
      <c r="CO165" s="161"/>
      <c r="CP165" s="161"/>
      <c r="CQ165" s="161"/>
      <c r="CR165" s="161"/>
      <c r="CS165" s="161"/>
      <c r="CT165" s="161"/>
      <c r="CU165" s="161"/>
      <c r="CV165" s="161"/>
      <c r="CW165" s="161"/>
      <c r="CX165" s="161"/>
      <c r="CY165" s="161"/>
      <c r="CZ165" s="161"/>
      <c r="DA165" s="161"/>
      <c r="DB165" s="161"/>
      <c r="DC165" s="161"/>
      <c r="DD165" s="161"/>
      <c r="DE165" s="161"/>
      <c r="DF165" s="161"/>
      <c r="DG165" s="161"/>
      <c r="DH165" s="161"/>
      <c r="DI165" s="161"/>
      <c r="DJ165" s="161"/>
      <c r="DK165" s="161"/>
      <c r="DL165" s="161"/>
      <c r="DM165" s="161"/>
      <c r="DN165" s="161"/>
      <c r="DO165" s="161"/>
      <c r="DP165" s="161"/>
      <c r="DQ165" s="161"/>
      <c r="DR165" s="161"/>
      <c r="DS165" s="161"/>
      <c r="DT165" s="161"/>
      <c r="DU165" s="161"/>
      <c r="DV165" s="161"/>
      <c r="DW165" s="161"/>
      <c r="DX165" s="161"/>
      <c r="DY165" s="161"/>
      <c r="DZ165" s="161"/>
      <c r="EA165" s="161"/>
      <c r="EB165" s="174"/>
    </row>
    <row r="166" spans="1:132">
      <c r="A166" s="76"/>
      <c r="BO166" s="161"/>
      <c r="BP166" s="161"/>
      <c r="BQ166" s="161"/>
      <c r="BR166" s="161"/>
      <c r="BS166" s="161"/>
      <c r="BT166" s="161"/>
      <c r="BU166" s="161"/>
      <c r="BV166" s="161"/>
      <c r="BW166" s="161"/>
      <c r="BX166" s="161"/>
      <c r="BY166" s="161"/>
      <c r="BZ166" s="161"/>
      <c r="CA166" s="161"/>
      <c r="CB166" s="161"/>
      <c r="CC166" s="161"/>
      <c r="CD166" s="161"/>
      <c r="CE166" s="161"/>
      <c r="CF166" s="161"/>
      <c r="CG166" s="161"/>
      <c r="CH166" s="161"/>
      <c r="CI166" s="161"/>
      <c r="CJ166" s="161"/>
      <c r="CK166" s="161"/>
      <c r="CL166" s="161"/>
      <c r="CM166" s="161"/>
      <c r="CN166" s="161"/>
      <c r="CO166" s="161"/>
      <c r="CP166" s="161"/>
      <c r="CQ166" s="161"/>
      <c r="CR166" s="161"/>
      <c r="CS166" s="161"/>
      <c r="CT166" s="161"/>
      <c r="CU166" s="161"/>
      <c r="CV166" s="161"/>
      <c r="CW166" s="161"/>
      <c r="CX166" s="161"/>
      <c r="CY166" s="161"/>
      <c r="CZ166" s="161"/>
      <c r="DA166" s="161"/>
      <c r="DB166" s="161"/>
      <c r="DC166" s="161"/>
      <c r="DD166" s="161"/>
      <c r="DE166" s="161"/>
      <c r="DF166" s="161"/>
      <c r="DG166" s="161"/>
      <c r="DH166" s="161"/>
      <c r="DI166" s="161"/>
      <c r="DJ166" s="161"/>
      <c r="DK166" s="161"/>
      <c r="DL166" s="161"/>
      <c r="DM166" s="161"/>
      <c r="DN166" s="161"/>
      <c r="DO166" s="161"/>
      <c r="DP166" s="161"/>
      <c r="DQ166" s="161"/>
      <c r="DR166" s="161"/>
      <c r="DS166" s="161"/>
      <c r="DT166" s="161"/>
      <c r="DU166" s="161"/>
      <c r="DV166" s="161"/>
      <c r="DW166" s="161"/>
      <c r="DX166" s="161"/>
      <c r="DY166" s="161"/>
      <c r="DZ166" s="161"/>
      <c r="EA166" s="161"/>
      <c r="EB166" s="174"/>
    </row>
    <row r="167" spans="1:132">
      <c r="A167" s="76"/>
      <c r="BO167" s="161"/>
      <c r="BP167" s="161"/>
      <c r="BQ167" s="161"/>
      <c r="BR167" s="161"/>
      <c r="BS167" s="161"/>
      <c r="BT167" s="161"/>
      <c r="BU167" s="161"/>
      <c r="BV167" s="161"/>
      <c r="BW167" s="161"/>
      <c r="BX167" s="161"/>
      <c r="BY167" s="161"/>
      <c r="BZ167" s="161"/>
      <c r="CA167" s="161"/>
      <c r="CB167" s="161"/>
      <c r="CC167" s="161"/>
      <c r="CD167" s="161"/>
      <c r="CE167" s="161"/>
      <c r="CF167" s="161"/>
      <c r="CG167" s="161"/>
      <c r="CH167" s="161"/>
      <c r="CI167" s="161"/>
      <c r="CJ167" s="161"/>
      <c r="CK167" s="161"/>
      <c r="CL167" s="161"/>
      <c r="CM167" s="161"/>
      <c r="CN167" s="161"/>
      <c r="CO167" s="161"/>
      <c r="CP167" s="161"/>
      <c r="CQ167" s="161"/>
      <c r="CR167" s="161"/>
      <c r="CS167" s="161"/>
      <c r="CT167" s="161"/>
      <c r="CU167" s="161"/>
      <c r="CV167" s="161"/>
      <c r="CW167" s="161"/>
      <c r="CX167" s="161"/>
      <c r="CY167" s="161"/>
      <c r="CZ167" s="161"/>
      <c r="DA167" s="161"/>
      <c r="DB167" s="161"/>
      <c r="DC167" s="161"/>
      <c r="DD167" s="161"/>
      <c r="DE167" s="161"/>
      <c r="DF167" s="161"/>
      <c r="DG167" s="161"/>
      <c r="DH167" s="161"/>
      <c r="DI167" s="161"/>
      <c r="DJ167" s="161"/>
      <c r="DK167" s="161"/>
      <c r="DL167" s="161"/>
      <c r="DM167" s="161"/>
      <c r="DN167" s="161"/>
      <c r="DO167" s="161"/>
      <c r="DP167" s="161"/>
      <c r="DQ167" s="161"/>
      <c r="DR167" s="161"/>
      <c r="DS167" s="161"/>
      <c r="DT167" s="161"/>
      <c r="DU167" s="161"/>
      <c r="DV167" s="161"/>
      <c r="DW167" s="161"/>
      <c r="DX167" s="161"/>
      <c r="DY167" s="161"/>
      <c r="DZ167" s="161"/>
      <c r="EA167" s="161"/>
      <c r="EB167" s="174"/>
    </row>
    <row r="168" spans="1:132">
      <c r="A168" s="76"/>
      <c r="BO168" s="161"/>
      <c r="BP168" s="161"/>
      <c r="BQ168" s="161"/>
      <c r="BR168" s="161"/>
      <c r="BS168" s="161"/>
      <c r="BT168" s="161"/>
      <c r="BU168" s="161"/>
      <c r="BV168" s="161"/>
      <c r="BW168" s="161"/>
      <c r="BX168" s="161"/>
      <c r="BY168" s="161"/>
      <c r="BZ168" s="161"/>
      <c r="CA168" s="161"/>
      <c r="CB168" s="161"/>
      <c r="CC168" s="161"/>
      <c r="CD168" s="161"/>
      <c r="CE168" s="161"/>
      <c r="CF168" s="161"/>
      <c r="CG168" s="161"/>
      <c r="CH168" s="161"/>
      <c r="CI168" s="161"/>
      <c r="CJ168" s="161"/>
      <c r="CK168" s="161"/>
      <c r="CL168" s="161"/>
      <c r="CM168" s="161"/>
      <c r="CN168" s="161"/>
      <c r="CO168" s="161"/>
      <c r="CP168" s="161"/>
      <c r="CQ168" s="161"/>
      <c r="CR168" s="161"/>
      <c r="CS168" s="161"/>
      <c r="CT168" s="161"/>
      <c r="CU168" s="161"/>
      <c r="CV168" s="161"/>
      <c r="CW168" s="161"/>
      <c r="CX168" s="161"/>
      <c r="CY168" s="161"/>
      <c r="CZ168" s="161"/>
      <c r="DA168" s="161"/>
      <c r="DB168" s="161"/>
      <c r="DC168" s="161"/>
      <c r="DD168" s="161"/>
      <c r="DE168" s="161"/>
      <c r="DF168" s="161"/>
      <c r="DG168" s="161"/>
      <c r="DH168" s="161"/>
      <c r="DI168" s="161"/>
      <c r="DJ168" s="161"/>
      <c r="DK168" s="161"/>
      <c r="DL168" s="161"/>
      <c r="DM168" s="161"/>
      <c r="DN168" s="161"/>
      <c r="DO168" s="161"/>
      <c r="DP168" s="161"/>
      <c r="DQ168" s="161"/>
      <c r="DR168" s="161"/>
      <c r="DS168" s="161"/>
      <c r="DT168" s="161"/>
      <c r="DU168" s="161"/>
      <c r="DV168" s="161"/>
      <c r="DW168" s="161"/>
      <c r="DX168" s="161"/>
      <c r="DY168" s="161"/>
      <c r="DZ168" s="161"/>
      <c r="EA168" s="161"/>
      <c r="EB168" s="174"/>
    </row>
    <row r="169" spans="1:132">
      <c r="A169" s="76"/>
      <c r="BO169" s="161"/>
      <c r="BP169" s="161"/>
      <c r="BQ169" s="161"/>
      <c r="BR169" s="161"/>
      <c r="BS169" s="161"/>
      <c r="BT169" s="161"/>
      <c r="BU169" s="161"/>
      <c r="BV169" s="161"/>
      <c r="BW169" s="161"/>
      <c r="BX169" s="161"/>
      <c r="BY169" s="161"/>
      <c r="BZ169" s="161"/>
      <c r="CA169" s="161"/>
      <c r="CB169" s="161"/>
      <c r="CC169" s="161"/>
      <c r="CD169" s="161"/>
      <c r="CE169" s="161"/>
      <c r="CF169" s="161"/>
      <c r="CG169" s="161"/>
      <c r="CH169" s="161"/>
      <c r="CI169" s="161"/>
      <c r="CJ169" s="161"/>
      <c r="CK169" s="161"/>
      <c r="CL169" s="161"/>
      <c r="CM169" s="161"/>
      <c r="CN169" s="161"/>
      <c r="CO169" s="161"/>
      <c r="CP169" s="161"/>
      <c r="CQ169" s="161"/>
      <c r="CR169" s="161"/>
      <c r="CS169" s="161"/>
      <c r="CT169" s="161"/>
      <c r="CU169" s="161"/>
      <c r="CV169" s="161"/>
      <c r="CW169" s="161"/>
      <c r="CX169" s="161"/>
      <c r="CY169" s="161"/>
      <c r="CZ169" s="161"/>
      <c r="DA169" s="161"/>
      <c r="DB169" s="161"/>
      <c r="DC169" s="161"/>
      <c r="DD169" s="161"/>
      <c r="DE169" s="161"/>
      <c r="DF169" s="161"/>
      <c r="DG169" s="161"/>
      <c r="DH169" s="161"/>
      <c r="DI169" s="161"/>
      <c r="DJ169" s="161"/>
      <c r="DK169" s="161"/>
      <c r="DL169" s="161"/>
      <c r="DM169" s="161"/>
      <c r="DN169" s="161"/>
      <c r="DO169" s="161"/>
      <c r="DP169" s="161"/>
      <c r="DQ169" s="161"/>
      <c r="DR169" s="161"/>
      <c r="DS169" s="161"/>
      <c r="DT169" s="161"/>
      <c r="DU169" s="161"/>
      <c r="DV169" s="161"/>
      <c r="DW169" s="161"/>
      <c r="DX169" s="161"/>
      <c r="DY169" s="161"/>
      <c r="DZ169" s="161"/>
      <c r="EA169" s="161"/>
      <c r="EB169" s="174"/>
    </row>
    <row r="170" spans="1:132">
      <c r="A170" s="76"/>
      <c r="BO170" s="161"/>
      <c r="BP170" s="161"/>
      <c r="BQ170" s="161"/>
      <c r="BR170" s="161"/>
      <c r="BS170" s="161"/>
      <c r="BT170" s="161"/>
      <c r="BU170" s="161"/>
      <c r="BV170" s="161"/>
      <c r="BW170" s="161"/>
      <c r="BX170" s="161"/>
      <c r="BY170" s="161"/>
      <c r="BZ170" s="161"/>
      <c r="CA170" s="161"/>
      <c r="CB170" s="161"/>
      <c r="CC170" s="161"/>
      <c r="CD170" s="161"/>
      <c r="CE170" s="161"/>
      <c r="CF170" s="161"/>
      <c r="CG170" s="161"/>
      <c r="CH170" s="161"/>
      <c r="CI170" s="161"/>
      <c r="CJ170" s="161"/>
      <c r="CK170" s="161"/>
      <c r="CL170" s="161"/>
      <c r="CM170" s="161"/>
      <c r="CN170" s="161"/>
      <c r="CO170" s="161"/>
      <c r="CP170" s="161"/>
      <c r="CQ170" s="161"/>
      <c r="CR170" s="161"/>
      <c r="CS170" s="161"/>
      <c r="CT170" s="161"/>
      <c r="CU170" s="161"/>
      <c r="CV170" s="161"/>
      <c r="CW170" s="161"/>
      <c r="CX170" s="161"/>
      <c r="CY170" s="161"/>
      <c r="CZ170" s="161"/>
      <c r="DA170" s="161"/>
      <c r="DB170" s="161"/>
      <c r="DC170" s="161"/>
      <c r="DD170" s="161"/>
      <c r="DE170" s="161"/>
      <c r="DF170" s="161"/>
      <c r="DG170" s="161"/>
      <c r="DH170" s="161"/>
      <c r="DI170" s="161"/>
      <c r="DJ170" s="161"/>
      <c r="DK170" s="161"/>
      <c r="DL170" s="161"/>
      <c r="DM170" s="161"/>
      <c r="DN170" s="161"/>
      <c r="DO170" s="161"/>
      <c r="DP170" s="161"/>
      <c r="DQ170" s="161"/>
      <c r="DR170" s="161"/>
      <c r="DS170" s="161"/>
      <c r="DT170" s="161"/>
      <c r="DU170" s="161"/>
      <c r="DV170" s="161"/>
      <c r="DW170" s="161"/>
      <c r="DX170" s="161"/>
      <c r="DY170" s="161"/>
      <c r="DZ170" s="161"/>
      <c r="EA170" s="161"/>
      <c r="EB170" s="174"/>
    </row>
    <row r="171" spans="1:132">
      <c r="A171" s="76"/>
      <c r="BO171" s="161"/>
      <c r="BP171" s="161"/>
      <c r="BQ171" s="161"/>
      <c r="BR171" s="161"/>
      <c r="BS171" s="161"/>
      <c r="BT171" s="161"/>
      <c r="BU171" s="161"/>
      <c r="BV171" s="161"/>
      <c r="BW171" s="161"/>
      <c r="BX171" s="161"/>
      <c r="BY171" s="161"/>
      <c r="BZ171" s="161"/>
      <c r="CA171" s="161"/>
      <c r="CB171" s="161"/>
      <c r="CC171" s="161"/>
      <c r="CD171" s="161"/>
      <c r="CE171" s="161"/>
      <c r="CF171" s="161"/>
      <c r="CG171" s="161"/>
      <c r="CH171" s="161"/>
      <c r="CI171" s="161"/>
      <c r="CJ171" s="161"/>
      <c r="CK171" s="161"/>
      <c r="CL171" s="161"/>
      <c r="CM171" s="161"/>
      <c r="CN171" s="161"/>
      <c r="CO171" s="161"/>
      <c r="CP171" s="161"/>
      <c r="CQ171" s="161"/>
      <c r="CR171" s="161"/>
      <c r="CS171" s="161"/>
      <c r="CT171" s="161"/>
      <c r="CU171" s="161"/>
      <c r="CV171" s="161"/>
      <c r="CW171" s="161"/>
      <c r="CX171" s="161"/>
      <c r="CY171" s="161"/>
      <c r="CZ171" s="161"/>
      <c r="DA171" s="161"/>
      <c r="DB171" s="161"/>
      <c r="DC171" s="161"/>
      <c r="DD171" s="161"/>
      <c r="DE171" s="161"/>
      <c r="DF171" s="161"/>
      <c r="DG171" s="161"/>
      <c r="DH171" s="161"/>
      <c r="DI171" s="161"/>
      <c r="DJ171" s="161"/>
      <c r="DK171" s="161"/>
      <c r="DL171" s="161"/>
      <c r="DM171" s="161"/>
      <c r="DN171" s="161"/>
      <c r="DO171" s="161"/>
      <c r="DP171" s="161"/>
      <c r="DQ171" s="161"/>
      <c r="DR171" s="161"/>
      <c r="DS171" s="161"/>
      <c r="DT171" s="161"/>
      <c r="DU171" s="161"/>
      <c r="DV171" s="161"/>
      <c r="DW171" s="161"/>
      <c r="DX171" s="161"/>
      <c r="DY171" s="161"/>
      <c r="DZ171" s="161"/>
      <c r="EA171" s="161"/>
      <c r="EB171" s="174"/>
    </row>
    <row r="172" spans="1:132">
      <c r="A172" s="76"/>
      <c r="BO172" s="161"/>
      <c r="BP172" s="161"/>
      <c r="BQ172" s="161"/>
      <c r="BR172" s="161"/>
      <c r="BS172" s="161"/>
      <c r="BT172" s="161"/>
      <c r="BU172" s="161"/>
      <c r="BV172" s="161"/>
      <c r="BW172" s="161"/>
      <c r="BX172" s="161"/>
      <c r="BY172" s="161"/>
      <c r="BZ172" s="161"/>
      <c r="CA172" s="161"/>
      <c r="CB172" s="161"/>
      <c r="CC172" s="161"/>
      <c r="CD172" s="161"/>
      <c r="CE172" s="161"/>
      <c r="CF172" s="161"/>
      <c r="CG172" s="161"/>
      <c r="CH172" s="161"/>
      <c r="CI172" s="161"/>
      <c r="CJ172" s="161"/>
      <c r="CK172" s="161"/>
      <c r="CL172" s="161"/>
      <c r="CM172" s="161"/>
      <c r="CN172" s="161"/>
      <c r="CO172" s="161"/>
      <c r="CP172" s="161"/>
      <c r="CQ172" s="161"/>
      <c r="CR172" s="161"/>
      <c r="CS172" s="161"/>
      <c r="CT172" s="161"/>
      <c r="CU172" s="161"/>
      <c r="CV172" s="161"/>
      <c r="CW172" s="161"/>
      <c r="CX172" s="161"/>
      <c r="CY172" s="161"/>
      <c r="CZ172" s="161"/>
      <c r="DA172" s="161"/>
      <c r="DB172" s="161"/>
      <c r="DC172" s="161"/>
      <c r="DD172" s="161"/>
      <c r="DE172" s="161"/>
      <c r="DF172" s="161"/>
      <c r="DG172" s="161"/>
      <c r="DH172" s="161"/>
      <c r="DI172" s="161"/>
      <c r="DJ172" s="161"/>
      <c r="DK172" s="161"/>
      <c r="DL172" s="161"/>
      <c r="DM172" s="161"/>
      <c r="DN172" s="161"/>
      <c r="DO172" s="161"/>
      <c r="DP172" s="161"/>
      <c r="DQ172" s="161"/>
      <c r="DR172" s="161"/>
      <c r="DS172" s="161"/>
      <c r="DT172" s="161"/>
      <c r="DU172" s="161"/>
      <c r="DV172" s="161"/>
      <c r="DW172" s="161"/>
      <c r="DX172" s="161"/>
      <c r="DY172" s="161"/>
      <c r="DZ172" s="161"/>
      <c r="EA172" s="161"/>
      <c r="EB172" s="174"/>
    </row>
    <row r="173" spans="1:132">
      <c r="A173" s="76"/>
      <c r="BO173" s="161"/>
      <c r="BP173" s="161"/>
      <c r="BQ173" s="161"/>
      <c r="BR173" s="161"/>
      <c r="BS173" s="161"/>
      <c r="BT173" s="161"/>
      <c r="BU173" s="161"/>
      <c r="BV173" s="161"/>
      <c r="BW173" s="161"/>
      <c r="BX173" s="161"/>
      <c r="BY173" s="161"/>
      <c r="BZ173" s="161"/>
      <c r="CA173" s="161"/>
      <c r="CB173" s="161"/>
      <c r="CC173" s="161"/>
      <c r="CD173" s="161"/>
      <c r="CE173" s="161"/>
      <c r="CF173" s="161"/>
      <c r="CG173" s="161"/>
      <c r="CH173" s="161"/>
      <c r="CI173" s="161"/>
      <c r="CJ173" s="161"/>
      <c r="CK173" s="161"/>
      <c r="CL173" s="161"/>
      <c r="CM173" s="161"/>
      <c r="CN173" s="161"/>
      <c r="CO173" s="161"/>
      <c r="CP173" s="161"/>
      <c r="CQ173" s="161"/>
      <c r="CR173" s="161"/>
      <c r="CS173" s="161"/>
      <c r="CT173" s="161"/>
      <c r="CU173" s="161"/>
      <c r="CV173" s="161"/>
      <c r="CW173" s="161"/>
      <c r="CX173" s="161"/>
      <c r="CY173" s="161"/>
      <c r="CZ173" s="161"/>
      <c r="DA173" s="161"/>
      <c r="DB173" s="161"/>
      <c r="DC173" s="161"/>
      <c r="DD173" s="161"/>
      <c r="DE173" s="161"/>
      <c r="DF173" s="161"/>
      <c r="DG173" s="161"/>
      <c r="DH173" s="161"/>
      <c r="DI173" s="161"/>
      <c r="DJ173" s="161"/>
      <c r="DK173" s="161"/>
      <c r="DL173" s="161"/>
      <c r="DM173" s="161"/>
      <c r="DN173" s="161"/>
      <c r="DO173" s="161"/>
      <c r="DP173" s="161"/>
      <c r="DQ173" s="161"/>
      <c r="DR173" s="161"/>
      <c r="DS173" s="161"/>
      <c r="DT173" s="161"/>
      <c r="DU173" s="161"/>
      <c r="DV173" s="161"/>
      <c r="DW173" s="161"/>
      <c r="DX173" s="161"/>
      <c r="DY173" s="161"/>
      <c r="DZ173" s="161"/>
      <c r="EA173" s="161"/>
      <c r="EB173" s="174"/>
    </row>
    <row r="174" spans="1:132">
      <c r="A174" s="76"/>
      <c r="BO174" s="161"/>
      <c r="BP174" s="161"/>
      <c r="BQ174" s="161"/>
      <c r="BR174" s="161"/>
      <c r="BS174" s="161"/>
      <c r="BT174" s="161"/>
      <c r="BU174" s="161"/>
      <c r="BV174" s="161"/>
      <c r="BW174" s="161"/>
      <c r="BX174" s="161"/>
      <c r="BY174" s="161"/>
      <c r="BZ174" s="161"/>
      <c r="CA174" s="161"/>
      <c r="CB174" s="161"/>
      <c r="CC174" s="161"/>
      <c r="CD174" s="161"/>
      <c r="CE174" s="161"/>
      <c r="CF174" s="161"/>
      <c r="CG174" s="161"/>
      <c r="CH174" s="161"/>
      <c r="CI174" s="161"/>
      <c r="CJ174" s="161"/>
      <c r="CK174" s="161"/>
      <c r="CL174" s="161"/>
      <c r="CM174" s="161"/>
      <c r="CN174" s="161"/>
      <c r="CO174" s="161"/>
      <c r="CP174" s="161"/>
      <c r="CQ174" s="161"/>
      <c r="CR174" s="161"/>
      <c r="CS174" s="161"/>
      <c r="CT174" s="161"/>
      <c r="CU174" s="161"/>
      <c r="CV174" s="161"/>
      <c r="CW174" s="161"/>
      <c r="CX174" s="161"/>
      <c r="CY174" s="161"/>
      <c r="CZ174" s="161"/>
      <c r="DA174" s="161"/>
      <c r="DB174" s="161"/>
      <c r="DC174" s="161"/>
      <c r="DD174" s="161"/>
      <c r="DE174" s="161"/>
      <c r="DF174" s="161"/>
      <c r="DG174" s="161"/>
      <c r="DH174" s="161"/>
      <c r="DI174" s="161"/>
      <c r="DJ174" s="161"/>
      <c r="DK174" s="161"/>
      <c r="DL174" s="161"/>
      <c r="DM174" s="161"/>
      <c r="DN174" s="161"/>
      <c r="DO174" s="161"/>
      <c r="DP174" s="161"/>
      <c r="DQ174" s="161"/>
      <c r="DR174" s="161"/>
      <c r="DS174" s="161"/>
      <c r="DT174" s="161"/>
      <c r="DU174" s="161"/>
      <c r="DV174" s="161"/>
      <c r="DW174" s="161"/>
      <c r="DX174" s="161"/>
      <c r="DY174" s="161"/>
      <c r="DZ174" s="161"/>
      <c r="EA174" s="161"/>
      <c r="EB174" s="174"/>
    </row>
    <row r="175" spans="1:132">
      <c r="A175" s="76"/>
      <c r="BO175" s="161"/>
      <c r="BP175" s="161"/>
      <c r="BQ175" s="161"/>
      <c r="BR175" s="161"/>
      <c r="BS175" s="161"/>
      <c r="BT175" s="161"/>
      <c r="BU175" s="161"/>
      <c r="BV175" s="161"/>
      <c r="BW175" s="161"/>
      <c r="BX175" s="161"/>
      <c r="BY175" s="161"/>
      <c r="BZ175" s="161"/>
      <c r="CA175" s="161"/>
      <c r="CB175" s="161"/>
      <c r="CC175" s="161"/>
      <c r="CD175" s="161"/>
      <c r="CE175" s="161"/>
      <c r="CF175" s="161"/>
      <c r="CG175" s="161"/>
      <c r="CH175" s="161"/>
      <c r="CI175" s="161"/>
      <c r="CJ175" s="161"/>
      <c r="CK175" s="161"/>
      <c r="CL175" s="161"/>
      <c r="CM175" s="161"/>
      <c r="CN175" s="161"/>
      <c r="CO175" s="161"/>
      <c r="CP175" s="161"/>
      <c r="CQ175" s="161"/>
      <c r="CR175" s="161"/>
      <c r="CS175" s="161"/>
      <c r="CT175" s="161"/>
      <c r="CU175" s="161"/>
      <c r="CV175" s="161"/>
      <c r="CW175" s="161"/>
      <c r="CX175" s="161"/>
      <c r="CY175" s="161"/>
      <c r="CZ175" s="161"/>
      <c r="DA175" s="161"/>
      <c r="DB175" s="161"/>
      <c r="DC175" s="161"/>
      <c r="DD175" s="161"/>
      <c r="DE175" s="161"/>
      <c r="DF175" s="161"/>
      <c r="DG175" s="161"/>
      <c r="DH175" s="161"/>
      <c r="DI175" s="161"/>
      <c r="DJ175" s="161"/>
      <c r="DK175" s="161"/>
      <c r="DL175" s="161"/>
      <c r="DM175" s="161"/>
      <c r="DN175" s="161"/>
      <c r="DO175" s="161"/>
      <c r="DP175" s="161"/>
      <c r="DQ175" s="161"/>
      <c r="DR175" s="161"/>
      <c r="DS175" s="161"/>
      <c r="DT175" s="161"/>
      <c r="DU175" s="161"/>
      <c r="DV175" s="161"/>
      <c r="DW175" s="161"/>
      <c r="DX175" s="161"/>
      <c r="DY175" s="161"/>
      <c r="DZ175" s="161"/>
      <c r="EA175" s="161"/>
      <c r="EB175" s="174"/>
    </row>
    <row r="176" spans="1:132">
      <c r="A176" s="76"/>
      <c r="BO176" s="161"/>
      <c r="BP176" s="161"/>
      <c r="BQ176" s="161"/>
      <c r="BR176" s="161"/>
      <c r="BS176" s="161"/>
      <c r="BT176" s="161"/>
      <c r="BU176" s="161"/>
      <c r="BV176" s="161"/>
      <c r="BW176" s="161"/>
      <c r="BX176" s="161"/>
      <c r="BY176" s="161"/>
      <c r="BZ176" s="161"/>
      <c r="CA176" s="161"/>
      <c r="CB176" s="161"/>
      <c r="CC176" s="161"/>
      <c r="CD176" s="161"/>
      <c r="CE176" s="161"/>
      <c r="CF176" s="161"/>
      <c r="CG176" s="161"/>
      <c r="CH176" s="161"/>
      <c r="CI176" s="161"/>
      <c r="CJ176" s="161"/>
      <c r="CK176" s="161"/>
      <c r="CL176" s="161"/>
      <c r="CM176" s="161"/>
      <c r="CN176" s="161"/>
      <c r="CO176" s="161"/>
      <c r="CP176" s="161"/>
      <c r="CQ176" s="161"/>
      <c r="CR176" s="161"/>
      <c r="CS176" s="161"/>
      <c r="CT176" s="161"/>
      <c r="CU176" s="161"/>
      <c r="CV176" s="161"/>
      <c r="CW176" s="161"/>
      <c r="CX176" s="161"/>
      <c r="CY176" s="161"/>
      <c r="CZ176" s="161"/>
      <c r="DA176" s="161"/>
      <c r="DB176" s="161"/>
      <c r="DC176" s="161"/>
      <c r="DD176" s="161"/>
      <c r="DE176" s="161"/>
      <c r="DF176" s="161"/>
      <c r="DG176" s="161"/>
      <c r="DH176" s="161"/>
      <c r="DI176" s="161"/>
      <c r="DJ176" s="161"/>
      <c r="DK176" s="161"/>
      <c r="DL176" s="161"/>
      <c r="DM176" s="161"/>
      <c r="DN176" s="161"/>
      <c r="DO176" s="161"/>
      <c r="DP176" s="161"/>
      <c r="DQ176" s="161"/>
      <c r="DR176" s="161"/>
      <c r="DS176" s="161"/>
      <c r="DT176" s="161"/>
      <c r="DU176" s="161"/>
      <c r="DV176" s="161"/>
      <c r="DW176" s="161"/>
      <c r="DX176" s="161"/>
      <c r="DY176" s="161"/>
      <c r="DZ176" s="161"/>
      <c r="EA176" s="161"/>
      <c r="EB176" s="174"/>
    </row>
    <row r="177" spans="1:132">
      <c r="A177" s="76"/>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c r="DQ177" s="161"/>
      <c r="DR177" s="161"/>
      <c r="DS177" s="161"/>
      <c r="DT177" s="161"/>
      <c r="DU177" s="161"/>
      <c r="DV177" s="161"/>
      <c r="DW177" s="161"/>
      <c r="DX177" s="161"/>
      <c r="DY177" s="161"/>
      <c r="DZ177" s="161"/>
      <c r="EA177" s="161"/>
      <c r="EB177" s="174"/>
    </row>
    <row r="178" spans="1:132">
      <c r="A178" s="76"/>
      <c r="BO178" s="161"/>
      <c r="BP178" s="161"/>
      <c r="BQ178" s="161"/>
      <c r="BR178" s="161"/>
      <c r="BS178" s="161"/>
      <c r="BT178" s="161"/>
      <c r="BU178" s="161"/>
      <c r="BV178" s="161"/>
      <c r="BW178" s="161"/>
      <c r="BX178" s="161"/>
      <c r="BY178" s="161"/>
      <c r="BZ178" s="161"/>
      <c r="CA178" s="161"/>
      <c r="CB178" s="161"/>
      <c r="CC178" s="161"/>
      <c r="CD178" s="161"/>
      <c r="CE178" s="161"/>
      <c r="CF178" s="161"/>
      <c r="CG178" s="161"/>
      <c r="CH178" s="161"/>
      <c r="CI178" s="161"/>
      <c r="CJ178" s="161"/>
      <c r="CK178" s="161"/>
      <c r="CL178" s="161"/>
      <c r="CM178" s="161"/>
      <c r="CN178" s="161"/>
      <c r="CO178" s="161"/>
      <c r="CP178" s="161"/>
      <c r="CQ178" s="161"/>
      <c r="CR178" s="161"/>
      <c r="CS178" s="161"/>
      <c r="CT178" s="161"/>
      <c r="CU178" s="161"/>
      <c r="CV178" s="161"/>
      <c r="CW178" s="161"/>
      <c r="CX178" s="161"/>
      <c r="CY178" s="161"/>
      <c r="CZ178" s="161"/>
      <c r="DA178" s="161"/>
      <c r="DB178" s="161"/>
      <c r="DC178" s="161"/>
      <c r="DD178" s="161"/>
      <c r="DE178" s="161"/>
      <c r="DF178" s="161"/>
      <c r="DG178" s="161"/>
      <c r="DH178" s="161"/>
      <c r="DI178" s="161"/>
      <c r="DJ178" s="161"/>
      <c r="DK178" s="161"/>
      <c r="DL178" s="161"/>
      <c r="DM178" s="161"/>
      <c r="DN178" s="161"/>
      <c r="DO178" s="161"/>
      <c r="DP178" s="161"/>
      <c r="DQ178" s="161"/>
      <c r="DR178" s="161"/>
      <c r="DS178" s="161"/>
      <c r="DT178" s="161"/>
      <c r="DU178" s="161"/>
      <c r="DV178" s="161"/>
      <c r="DW178" s="161"/>
      <c r="DX178" s="161"/>
      <c r="DY178" s="161"/>
      <c r="DZ178" s="161"/>
      <c r="EA178" s="161"/>
      <c r="EB178" s="174"/>
    </row>
    <row r="179" spans="1:132">
      <c r="A179" s="76"/>
      <c r="BO179" s="161"/>
      <c r="BP179" s="161"/>
      <c r="BQ179" s="161"/>
      <c r="BR179" s="161"/>
      <c r="BS179" s="161"/>
      <c r="BT179" s="161"/>
      <c r="BU179" s="161"/>
      <c r="BV179" s="161"/>
      <c r="BW179" s="161"/>
      <c r="BX179" s="161"/>
      <c r="BY179" s="161"/>
      <c r="BZ179" s="161"/>
      <c r="CA179" s="161"/>
      <c r="CB179" s="161"/>
      <c r="CC179" s="161"/>
      <c r="CD179" s="161"/>
      <c r="CE179" s="161"/>
      <c r="CF179" s="161"/>
      <c r="CG179" s="161"/>
      <c r="CH179" s="161"/>
      <c r="CI179" s="161"/>
      <c r="CJ179" s="161"/>
      <c r="CK179" s="161"/>
      <c r="CL179" s="161"/>
      <c r="CM179" s="161"/>
      <c r="CN179" s="161"/>
      <c r="CO179" s="161"/>
      <c r="CP179" s="161"/>
      <c r="CQ179" s="161"/>
      <c r="CR179" s="161"/>
      <c r="CS179" s="161"/>
      <c r="CT179" s="161"/>
      <c r="CU179" s="161"/>
      <c r="CV179" s="161"/>
      <c r="CW179" s="161"/>
      <c r="CX179" s="161"/>
      <c r="CY179" s="161"/>
      <c r="CZ179" s="161"/>
      <c r="DA179" s="161"/>
      <c r="DB179" s="161"/>
      <c r="DC179" s="161"/>
      <c r="DD179" s="161"/>
      <c r="DE179" s="161"/>
      <c r="DF179" s="161"/>
      <c r="DG179" s="161"/>
      <c r="DH179" s="161"/>
      <c r="DI179" s="161"/>
      <c r="DJ179" s="161"/>
      <c r="DK179" s="161"/>
      <c r="DL179" s="161"/>
      <c r="DM179" s="161"/>
      <c r="DN179" s="161"/>
      <c r="DO179" s="161"/>
      <c r="DP179" s="161"/>
      <c r="DQ179" s="161"/>
      <c r="DR179" s="161"/>
      <c r="DS179" s="161"/>
      <c r="DT179" s="161"/>
      <c r="DU179" s="161"/>
      <c r="DV179" s="161"/>
      <c r="DW179" s="161"/>
      <c r="DX179" s="161"/>
      <c r="DY179" s="161"/>
      <c r="DZ179" s="161"/>
      <c r="EA179" s="161"/>
      <c r="EB179" s="174"/>
    </row>
    <row r="180" spans="1:132">
      <c r="A180" s="76"/>
      <c r="BO180" s="161"/>
      <c r="BP180" s="161"/>
      <c r="BQ180" s="161"/>
      <c r="BR180" s="161"/>
      <c r="BS180" s="161"/>
      <c r="BT180" s="161"/>
      <c r="BU180" s="161"/>
      <c r="BV180" s="161"/>
      <c r="BW180" s="161"/>
      <c r="BX180" s="161"/>
      <c r="BY180" s="161"/>
      <c r="BZ180" s="161"/>
      <c r="CA180" s="161"/>
      <c r="CB180" s="161"/>
      <c r="CC180" s="161"/>
      <c r="CD180" s="161"/>
      <c r="CE180" s="161"/>
      <c r="CF180" s="161"/>
      <c r="CG180" s="161"/>
      <c r="CH180" s="161"/>
      <c r="CI180" s="161"/>
      <c r="CJ180" s="161"/>
      <c r="CK180" s="161"/>
      <c r="CL180" s="161"/>
      <c r="CM180" s="161"/>
      <c r="CN180" s="161"/>
      <c r="CO180" s="161"/>
      <c r="CP180" s="161"/>
      <c r="CQ180" s="161"/>
      <c r="CR180" s="161"/>
      <c r="CS180" s="161"/>
      <c r="CT180" s="161"/>
      <c r="CU180" s="161"/>
      <c r="CV180" s="161"/>
      <c r="CW180" s="161"/>
      <c r="CX180" s="161"/>
      <c r="CY180" s="161"/>
      <c r="CZ180" s="161"/>
      <c r="DA180" s="161"/>
      <c r="DB180" s="161"/>
      <c r="DC180" s="161"/>
      <c r="DD180" s="161"/>
      <c r="DE180" s="161"/>
      <c r="DF180" s="161"/>
      <c r="DG180" s="161"/>
      <c r="DH180" s="161"/>
      <c r="DI180" s="161"/>
      <c r="DJ180" s="161"/>
      <c r="DK180" s="161"/>
      <c r="DL180" s="161"/>
      <c r="DM180" s="161"/>
      <c r="DN180" s="161"/>
      <c r="DO180" s="161"/>
      <c r="DP180" s="161"/>
      <c r="DQ180" s="161"/>
      <c r="DR180" s="161"/>
      <c r="DS180" s="161"/>
      <c r="DT180" s="161"/>
      <c r="DU180" s="161"/>
      <c r="DV180" s="161"/>
      <c r="DW180" s="161"/>
      <c r="DX180" s="161"/>
      <c r="DY180" s="161"/>
      <c r="DZ180" s="161"/>
      <c r="EA180" s="161"/>
      <c r="EB180" s="174"/>
    </row>
    <row r="181" spans="1:132">
      <c r="A181" s="76"/>
      <c r="BO181" s="161"/>
      <c r="BP181" s="161"/>
      <c r="BQ181" s="161"/>
      <c r="BR181" s="161"/>
      <c r="BS181" s="161"/>
      <c r="BT181" s="161"/>
      <c r="BU181" s="161"/>
      <c r="BV181" s="161"/>
      <c r="BW181" s="161"/>
      <c r="BX181" s="161"/>
      <c r="BY181" s="161"/>
      <c r="BZ181" s="161"/>
      <c r="CA181" s="161"/>
      <c r="CB181" s="161"/>
      <c r="CC181" s="161"/>
      <c r="CD181" s="161"/>
      <c r="CE181" s="161"/>
      <c r="CF181" s="161"/>
      <c r="CG181" s="161"/>
      <c r="CH181" s="161"/>
      <c r="CI181" s="161"/>
      <c r="CJ181" s="161"/>
      <c r="CK181" s="161"/>
      <c r="CL181" s="161"/>
      <c r="CM181" s="161"/>
      <c r="CN181" s="161"/>
      <c r="CO181" s="161"/>
      <c r="CP181" s="161"/>
      <c r="CQ181" s="161"/>
      <c r="CR181" s="161"/>
      <c r="CS181" s="161"/>
      <c r="CT181" s="161"/>
      <c r="CU181" s="161"/>
      <c r="CV181" s="161"/>
      <c r="CW181" s="161"/>
      <c r="CX181" s="161"/>
      <c r="CY181" s="161"/>
      <c r="CZ181" s="161"/>
      <c r="DA181" s="161"/>
      <c r="DB181" s="161"/>
      <c r="DC181" s="161"/>
      <c r="DD181" s="161"/>
      <c r="DE181" s="161"/>
      <c r="DF181" s="161"/>
      <c r="DG181" s="161"/>
      <c r="DH181" s="161"/>
      <c r="DI181" s="161"/>
      <c r="DJ181" s="161"/>
      <c r="DK181" s="161"/>
      <c r="DL181" s="161"/>
      <c r="DM181" s="161"/>
      <c r="DN181" s="161"/>
      <c r="DO181" s="161"/>
      <c r="DP181" s="161"/>
      <c r="DQ181" s="161"/>
      <c r="DR181" s="161"/>
      <c r="DS181" s="161"/>
      <c r="DT181" s="161"/>
      <c r="DU181" s="161"/>
      <c r="DV181" s="161"/>
      <c r="DW181" s="161"/>
      <c r="DX181" s="161"/>
      <c r="DY181" s="161"/>
      <c r="DZ181" s="161"/>
      <c r="EA181" s="161"/>
      <c r="EB181" s="174"/>
    </row>
    <row r="182" spans="1:132">
      <c r="A182" s="76"/>
      <c r="BO182" s="161"/>
      <c r="BP182" s="161"/>
      <c r="BQ182" s="161"/>
      <c r="BR182" s="161"/>
      <c r="BS182" s="161"/>
      <c r="BT182" s="161"/>
      <c r="BU182" s="161"/>
      <c r="BV182" s="161"/>
      <c r="BW182" s="161"/>
      <c r="BX182" s="161"/>
      <c r="BY182" s="161"/>
      <c r="BZ182" s="161"/>
      <c r="CA182" s="161"/>
      <c r="CB182" s="161"/>
      <c r="CC182" s="161"/>
      <c r="CD182" s="161"/>
      <c r="CE182" s="161"/>
      <c r="CF182" s="161"/>
      <c r="CG182" s="161"/>
      <c r="CH182" s="161"/>
      <c r="CI182" s="161"/>
      <c r="CJ182" s="161"/>
      <c r="CK182" s="161"/>
      <c r="CL182" s="161"/>
      <c r="CM182" s="161"/>
      <c r="CN182" s="161"/>
      <c r="CO182" s="161"/>
      <c r="CP182" s="161"/>
      <c r="CQ182" s="161"/>
      <c r="CR182" s="161"/>
      <c r="CS182" s="161"/>
      <c r="CT182" s="161"/>
      <c r="CU182" s="161"/>
      <c r="CV182" s="161"/>
      <c r="CW182" s="161"/>
      <c r="CX182" s="161"/>
      <c r="CY182" s="161"/>
      <c r="CZ182" s="161"/>
      <c r="DA182" s="161"/>
      <c r="DB182" s="161"/>
      <c r="DC182" s="161"/>
      <c r="DD182" s="161"/>
      <c r="DE182" s="161"/>
      <c r="DF182" s="161"/>
      <c r="DG182" s="161"/>
      <c r="DH182" s="161"/>
      <c r="DI182" s="161"/>
      <c r="DJ182" s="161"/>
      <c r="DK182" s="161"/>
      <c r="DL182" s="161"/>
      <c r="DM182" s="161"/>
      <c r="DN182" s="161"/>
      <c r="DO182" s="161"/>
      <c r="DP182" s="161"/>
      <c r="DQ182" s="161"/>
      <c r="DR182" s="161"/>
      <c r="DS182" s="161"/>
      <c r="DT182" s="161"/>
      <c r="DU182" s="161"/>
      <c r="DV182" s="161"/>
      <c r="DW182" s="161"/>
      <c r="DX182" s="161"/>
      <c r="DY182" s="161"/>
      <c r="DZ182" s="161"/>
      <c r="EA182" s="161"/>
      <c r="EB182" s="174"/>
    </row>
    <row r="183" spans="1:132">
      <c r="A183" s="76"/>
      <c r="BO183" s="161"/>
      <c r="BP183" s="161"/>
      <c r="BQ183" s="161"/>
      <c r="BR183" s="161"/>
      <c r="BS183" s="161"/>
      <c r="BT183" s="161"/>
      <c r="BU183" s="161"/>
      <c r="BV183" s="161"/>
      <c r="BW183" s="161"/>
      <c r="BX183" s="161"/>
      <c r="BY183" s="161"/>
      <c r="BZ183" s="161"/>
      <c r="CA183" s="161"/>
      <c r="CB183" s="161"/>
      <c r="CC183" s="161"/>
      <c r="CD183" s="161"/>
      <c r="CE183" s="161"/>
      <c r="CF183" s="161"/>
      <c r="CG183" s="161"/>
      <c r="CH183" s="161"/>
      <c r="CI183" s="161"/>
      <c r="CJ183" s="161"/>
      <c r="CK183" s="161"/>
      <c r="CL183" s="161"/>
      <c r="CM183" s="161"/>
      <c r="CN183" s="161"/>
      <c r="CO183" s="161"/>
      <c r="CP183" s="161"/>
      <c r="CQ183" s="161"/>
      <c r="CR183" s="161"/>
      <c r="CS183" s="161"/>
      <c r="CT183" s="161"/>
      <c r="CU183" s="161"/>
      <c r="CV183" s="161"/>
      <c r="CW183" s="161"/>
      <c r="CX183" s="161"/>
      <c r="CY183" s="161"/>
      <c r="CZ183" s="161"/>
      <c r="DA183" s="161"/>
      <c r="DB183" s="161"/>
      <c r="DC183" s="161"/>
      <c r="DD183" s="161"/>
      <c r="DE183" s="161"/>
      <c r="DF183" s="161"/>
      <c r="DG183" s="161"/>
      <c r="DH183" s="161"/>
      <c r="DI183" s="161"/>
      <c r="DJ183" s="161"/>
      <c r="DK183" s="161"/>
      <c r="DL183" s="161"/>
      <c r="DM183" s="161"/>
      <c r="DN183" s="161"/>
      <c r="DO183" s="161"/>
      <c r="DP183" s="161"/>
      <c r="DQ183" s="161"/>
      <c r="DR183" s="161"/>
      <c r="DS183" s="161"/>
      <c r="DT183" s="161"/>
      <c r="DU183" s="161"/>
      <c r="DV183" s="161"/>
      <c r="DW183" s="161"/>
      <c r="DX183" s="161"/>
      <c r="DY183" s="161"/>
      <c r="DZ183" s="161"/>
      <c r="EA183" s="161"/>
      <c r="EB183" s="174"/>
    </row>
    <row r="184" spans="1:132">
      <c r="A184" s="76"/>
      <c r="BO184" s="161"/>
      <c r="BP184" s="161"/>
      <c r="BQ184" s="161"/>
      <c r="BR184" s="161"/>
      <c r="BS184" s="161"/>
      <c r="BT184" s="161"/>
      <c r="BU184" s="161"/>
      <c r="BV184" s="161"/>
      <c r="BW184" s="161"/>
      <c r="BX184" s="161"/>
      <c r="BY184" s="161"/>
      <c r="BZ184" s="161"/>
      <c r="CA184" s="161"/>
      <c r="CB184" s="161"/>
      <c r="CC184" s="161"/>
      <c r="CD184" s="161"/>
      <c r="CE184" s="161"/>
      <c r="CF184" s="161"/>
      <c r="CG184" s="161"/>
      <c r="CH184" s="161"/>
      <c r="CI184" s="161"/>
      <c r="CJ184" s="161"/>
      <c r="CK184" s="161"/>
      <c r="CL184" s="161"/>
      <c r="CM184" s="161"/>
      <c r="CN184" s="161"/>
      <c r="CO184" s="161"/>
      <c r="CP184" s="161"/>
      <c r="CQ184" s="161"/>
      <c r="CR184" s="161"/>
      <c r="CS184" s="161"/>
      <c r="CT184" s="161"/>
      <c r="CU184" s="161"/>
      <c r="CV184" s="161"/>
      <c r="CW184" s="161"/>
      <c r="CX184" s="161"/>
      <c r="CY184" s="161"/>
      <c r="CZ184" s="161"/>
      <c r="DA184" s="161"/>
      <c r="DB184" s="161"/>
      <c r="DC184" s="161"/>
      <c r="DD184" s="161"/>
      <c r="DE184" s="161"/>
      <c r="DF184" s="161"/>
      <c r="DG184" s="161"/>
      <c r="DH184" s="161"/>
      <c r="DI184" s="161"/>
      <c r="DJ184" s="161"/>
      <c r="DK184" s="161"/>
      <c r="DL184" s="161"/>
      <c r="DM184" s="161"/>
      <c r="DN184" s="161"/>
      <c r="DO184" s="161"/>
      <c r="DP184" s="161"/>
      <c r="DQ184" s="161"/>
      <c r="DR184" s="161"/>
      <c r="DS184" s="161"/>
      <c r="DT184" s="161"/>
      <c r="DU184" s="161"/>
      <c r="DV184" s="161"/>
      <c r="DW184" s="161"/>
      <c r="DX184" s="161"/>
      <c r="DY184" s="161"/>
      <c r="DZ184" s="161"/>
      <c r="EA184" s="161"/>
      <c r="EB184" s="174"/>
    </row>
    <row r="185" spans="1:132">
      <c r="A185" s="76"/>
      <c r="BO185" s="161"/>
      <c r="BP185" s="161"/>
      <c r="BQ185" s="161"/>
      <c r="BR185" s="161"/>
      <c r="BS185" s="161"/>
      <c r="BT185" s="161"/>
      <c r="BU185" s="161"/>
      <c r="BV185" s="161"/>
      <c r="BW185" s="161"/>
      <c r="BX185" s="161"/>
      <c r="BY185" s="161"/>
      <c r="BZ185" s="161"/>
      <c r="CA185" s="161"/>
      <c r="CB185" s="161"/>
      <c r="CC185" s="161"/>
      <c r="CD185" s="161"/>
      <c r="CE185" s="161"/>
      <c r="CF185" s="161"/>
      <c r="CG185" s="161"/>
      <c r="CH185" s="161"/>
      <c r="CI185" s="161"/>
      <c r="CJ185" s="161"/>
      <c r="CK185" s="161"/>
      <c r="CL185" s="161"/>
      <c r="CM185" s="161"/>
      <c r="CN185" s="161"/>
      <c r="CO185" s="161"/>
      <c r="CP185" s="161"/>
      <c r="CQ185" s="161"/>
      <c r="CR185" s="161"/>
      <c r="CS185" s="161"/>
      <c r="CT185" s="161"/>
      <c r="CU185" s="161"/>
      <c r="CV185" s="161"/>
      <c r="CW185" s="161"/>
      <c r="CX185" s="161"/>
      <c r="CY185" s="161"/>
      <c r="CZ185" s="161"/>
      <c r="DA185" s="161"/>
      <c r="DB185" s="161"/>
      <c r="DC185" s="161"/>
      <c r="DD185" s="161"/>
      <c r="DE185" s="161"/>
      <c r="DF185" s="161"/>
      <c r="DG185" s="161"/>
      <c r="DH185" s="161"/>
      <c r="DI185" s="161"/>
      <c r="DJ185" s="161"/>
      <c r="DK185" s="161"/>
      <c r="DL185" s="161"/>
      <c r="DM185" s="161"/>
      <c r="DN185" s="161"/>
      <c r="DO185" s="161"/>
      <c r="DP185" s="161"/>
      <c r="DQ185" s="161"/>
      <c r="DR185" s="161"/>
      <c r="DS185" s="161"/>
      <c r="DT185" s="161"/>
      <c r="DU185" s="161"/>
      <c r="DV185" s="161"/>
      <c r="DW185" s="161"/>
      <c r="DX185" s="161"/>
      <c r="DY185" s="161"/>
      <c r="DZ185" s="161"/>
      <c r="EA185" s="161"/>
      <c r="EB185" s="174"/>
    </row>
    <row r="186" spans="1:132">
      <c r="A186" s="76"/>
      <c r="BO186" s="161"/>
      <c r="BP186" s="161"/>
      <c r="BQ186" s="161"/>
      <c r="BR186" s="161"/>
      <c r="BS186" s="161"/>
      <c r="BT186" s="161"/>
      <c r="BU186" s="161"/>
      <c r="BV186" s="161"/>
      <c r="BW186" s="161"/>
      <c r="BX186" s="161"/>
      <c r="BY186" s="161"/>
      <c r="BZ186" s="161"/>
      <c r="CA186" s="161"/>
      <c r="CB186" s="161"/>
      <c r="CC186" s="161"/>
      <c r="CD186" s="161"/>
      <c r="CE186" s="161"/>
      <c r="CF186" s="161"/>
      <c r="CG186" s="161"/>
      <c r="CH186" s="161"/>
      <c r="CI186" s="161"/>
      <c r="CJ186" s="161"/>
      <c r="CK186" s="161"/>
      <c r="CL186" s="161"/>
      <c r="CM186" s="161"/>
      <c r="CN186" s="161"/>
      <c r="CO186" s="161"/>
      <c r="CP186" s="161"/>
      <c r="CQ186" s="161"/>
      <c r="CR186" s="161"/>
      <c r="CS186" s="161"/>
      <c r="CT186" s="161"/>
      <c r="CU186" s="161"/>
      <c r="CV186" s="161"/>
      <c r="CW186" s="161"/>
      <c r="CX186" s="161"/>
      <c r="CY186" s="161"/>
      <c r="CZ186" s="161"/>
      <c r="DA186" s="161"/>
      <c r="DB186" s="161"/>
      <c r="DC186" s="161"/>
      <c r="DD186" s="161"/>
      <c r="DE186" s="161"/>
      <c r="DF186" s="161"/>
      <c r="DG186" s="161"/>
      <c r="DH186" s="161"/>
      <c r="DI186" s="161"/>
      <c r="DJ186" s="161"/>
      <c r="DK186" s="161"/>
      <c r="DL186" s="161"/>
      <c r="DM186" s="161"/>
      <c r="DN186" s="161"/>
      <c r="DO186" s="161"/>
      <c r="DP186" s="161"/>
      <c r="DQ186" s="161"/>
      <c r="DR186" s="161"/>
      <c r="DS186" s="161"/>
      <c r="DT186" s="161"/>
      <c r="DU186" s="161"/>
      <c r="DV186" s="161"/>
      <c r="DW186" s="161"/>
      <c r="DX186" s="161"/>
      <c r="DY186" s="161"/>
      <c r="DZ186" s="161"/>
      <c r="EA186" s="161"/>
      <c r="EB186" s="174"/>
    </row>
    <row r="187" spans="1:132">
      <c r="A187" s="76"/>
      <c r="BO187" s="161"/>
      <c r="BP187" s="161"/>
      <c r="BQ187" s="161"/>
      <c r="BR187" s="161"/>
      <c r="BS187" s="161"/>
      <c r="BT187" s="161"/>
      <c r="BU187" s="161"/>
      <c r="BV187" s="161"/>
      <c r="BW187" s="161"/>
      <c r="BX187" s="161"/>
      <c r="BY187" s="161"/>
      <c r="BZ187" s="161"/>
      <c r="CA187" s="161"/>
      <c r="CB187" s="161"/>
      <c r="CC187" s="161"/>
      <c r="CD187" s="161"/>
      <c r="CE187" s="161"/>
      <c r="CF187" s="161"/>
      <c r="CG187" s="161"/>
      <c r="CH187" s="161"/>
      <c r="CI187" s="161"/>
      <c r="CJ187" s="161"/>
      <c r="CK187" s="161"/>
      <c r="CL187" s="161"/>
      <c r="CM187" s="161"/>
      <c r="CN187" s="161"/>
      <c r="CO187" s="161"/>
      <c r="CP187" s="161"/>
      <c r="CQ187" s="161"/>
      <c r="CR187" s="161"/>
      <c r="CS187" s="161"/>
      <c r="CT187" s="161"/>
      <c r="CU187" s="161"/>
      <c r="CV187" s="161"/>
      <c r="CW187" s="161"/>
      <c r="CX187" s="161"/>
      <c r="CY187" s="161"/>
      <c r="CZ187" s="161"/>
      <c r="DA187" s="161"/>
      <c r="DB187" s="161"/>
      <c r="DC187" s="161"/>
      <c r="DD187" s="161"/>
      <c r="DE187" s="161"/>
      <c r="DF187" s="161"/>
      <c r="DG187" s="161"/>
      <c r="DH187" s="161"/>
      <c r="DI187" s="161"/>
      <c r="DJ187" s="161"/>
      <c r="DK187" s="161"/>
      <c r="DL187" s="161"/>
      <c r="DM187" s="161"/>
      <c r="DN187" s="161"/>
      <c r="DO187" s="161"/>
      <c r="DP187" s="161"/>
      <c r="DQ187" s="161"/>
      <c r="DR187" s="161"/>
      <c r="DS187" s="161"/>
      <c r="DT187" s="161"/>
      <c r="DU187" s="161"/>
      <c r="DV187" s="161"/>
      <c r="DW187" s="161"/>
      <c r="DX187" s="161"/>
      <c r="DY187" s="161"/>
      <c r="DZ187" s="161"/>
      <c r="EA187" s="161"/>
      <c r="EB187" s="174"/>
    </row>
    <row r="188" spans="1:132">
      <c r="A188" s="76"/>
      <c r="BO188" s="161"/>
      <c r="BP188" s="161"/>
      <c r="BQ188" s="161"/>
      <c r="BR188" s="161"/>
      <c r="BS188" s="161"/>
      <c r="BT188" s="161"/>
      <c r="BU188" s="161"/>
      <c r="BV188" s="161"/>
      <c r="BW188" s="161"/>
      <c r="BX188" s="161"/>
      <c r="BY188" s="161"/>
      <c r="BZ188" s="161"/>
      <c r="CA188" s="161"/>
      <c r="CB188" s="161"/>
      <c r="CC188" s="161"/>
      <c r="CD188" s="161"/>
      <c r="CE188" s="161"/>
      <c r="CF188" s="161"/>
      <c r="CG188" s="161"/>
      <c r="CH188" s="161"/>
      <c r="CI188" s="161"/>
      <c r="CJ188" s="161"/>
      <c r="CK188" s="161"/>
      <c r="CL188" s="161"/>
      <c r="CM188" s="161"/>
      <c r="CN188" s="161"/>
      <c r="CO188" s="161"/>
      <c r="CP188" s="161"/>
      <c r="CQ188" s="161"/>
      <c r="CR188" s="161"/>
      <c r="CS188" s="161"/>
      <c r="CT188" s="161"/>
      <c r="CU188" s="161"/>
      <c r="CV188" s="161"/>
      <c r="CW188" s="161"/>
      <c r="CX188" s="161"/>
      <c r="CY188" s="161"/>
      <c r="CZ188" s="161"/>
      <c r="DA188" s="161"/>
      <c r="DB188" s="161"/>
      <c r="DC188" s="161"/>
      <c r="DD188" s="161"/>
      <c r="DE188" s="161"/>
      <c r="DF188" s="161"/>
      <c r="DG188" s="161"/>
      <c r="DH188" s="161"/>
      <c r="DI188" s="161"/>
      <c r="DJ188" s="161"/>
      <c r="DK188" s="161"/>
      <c r="DL188" s="161"/>
      <c r="DM188" s="161"/>
      <c r="DN188" s="161"/>
      <c r="DO188" s="161"/>
      <c r="DP188" s="161"/>
      <c r="DQ188" s="161"/>
      <c r="DR188" s="161"/>
      <c r="DS188" s="161"/>
      <c r="DT188" s="161"/>
      <c r="DU188" s="161"/>
      <c r="DV188" s="161"/>
      <c r="DW188" s="161"/>
      <c r="DX188" s="161"/>
      <c r="DY188" s="161"/>
      <c r="DZ188" s="161"/>
      <c r="EA188" s="161"/>
      <c r="EB188" s="174"/>
    </row>
    <row r="189" spans="1:132">
      <c r="A189" s="76"/>
      <c r="BO189" s="161"/>
      <c r="BP189" s="161"/>
      <c r="BQ189" s="161"/>
      <c r="BR189" s="161"/>
      <c r="BS189" s="161"/>
      <c r="BT189" s="161"/>
      <c r="BU189" s="161"/>
      <c r="BV189" s="161"/>
      <c r="BW189" s="161"/>
      <c r="BX189" s="161"/>
      <c r="BY189" s="161"/>
      <c r="BZ189" s="161"/>
      <c r="CA189" s="161"/>
      <c r="CB189" s="161"/>
      <c r="CC189" s="161"/>
      <c r="CD189" s="161"/>
      <c r="CE189" s="161"/>
      <c r="CF189" s="161"/>
      <c r="CG189" s="161"/>
      <c r="CH189" s="161"/>
      <c r="CI189" s="161"/>
      <c r="CJ189" s="161"/>
      <c r="CK189" s="161"/>
      <c r="CL189" s="161"/>
      <c r="CM189" s="161"/>
      <c r="CN189" s="161"/>
      <c r="CO189" s="161"/>
      <c r="CP189" s="161"/>
      <c r="CQ189" s="161"/>
      <c r="CR189" s="161"/>
      <c r="CS189" s="161"/>
      <c r="CT189" s="161"/>
      <c r="CU189" s="161"/>
      <c r="CV189" s="161"/>
      <c r="CW189" s="161"/>
      <c r="CX189" s="161"/>
      <c r="CY189" s="161"/>
      <c r="CZ189" s="161"/>
      <c r="DA189" s="161"/>
      <c r="DB189" s="161"/>
      <c r="DC189" s="161"/>
      <c r="DD189" s="161"/>
      <c r="DE189" s="161"/>
      <c r="DF189" s="161"/>
      <c r="DG189" s="161"/>
      <c r="DH189" s="161"/>
      <c r="DI189" s="161"/>
      <c r="DJ189" s="161"/>
      <c r="DK189" s="161"/>
      <c r="DL189" s="161"/>
      <c r="DM189" s="161"/>
      <c r="DN189" s="161"/>
      <c r="DO189" s="161"/>
      <c r="DP189" s="161"/>
      <c r="DQ189" s="161"/>
      <c r="DR189" s="161"/>
      <c r="DS189" s="161"/>
      <c r="DT189" s="161"/>
      <c r="DU189" s="161"/>
      <c r="DV189" s="161"/>
      <c r="DW189" s="161"/>
      <c r="DX189" s="161"/>
      <c r="DY189" s="161"/>
      <c r="DZ189" s="161"/>
      <c r="EA189" s="161"/>
      <c r="EB189" s="174"/>
    </row>
    <row r="190" spans="1:132">
      <c r="A190" s="76"/>
      <c r="BO190" s="161"/>
      <c r="BP190" s="161"/>
      <c r="BQ190" s="161"/>
      <c r="BR190" s="161"/>
      <c r="BS190" s="161"/>
      <c r="BT190" s="161"/>
      <c r="BU190" s="161"/>
      <c r="BV190" s="161"/>
      <c r="BW190" s="161"/>
      <c r="BX190" s="161"/>
      <c r="BY190" s="161"/>
      <c r="BZ190" s="161"/>
      <c r="CA190" s="161"/>
      <c r="CB190" s="161"/>
      <c r="CC190" s="161"/>
      <c r="CD190" s="161"/>
      <c r="CE190" s="161"/>
      <c r="CF190" s="161"/>
      <c r="CG190" s="161"/>
      <c r="CH190" s="161"/>
      <c r="CI190" s="161"/>
      <c r="CJ190" s="161"/>
      <c r="CK190" s="161"/>
      <c r="CL190" s="161"/>
      <c r="CM190" s="161"/>
      <c r="CN190" s="161"/>
      <c r="CO190" s="161"/>
      <c r="CP190" s="161"/>
      <c r="CQ190" s="161"/>
      <c r="CR190" s="161"/>
      <c r="CS190" s="161"/>
      <c r="CT190" s="161"/>
      <c r="CU190" s="161"/>
      <c r="CV190" s="161"/>
      <c r="CW190" s="161"/>
      <c r="CX190" s="161"/>
      <c r="CY190" s="161"/>
      <c r="CZ190" s="161"/>
      <c r="DA190" s="161"/>
      <c r="DB190" s="161"/>
      <c r="DC190" s="161"/>
      <c r="DD190" s="161"/>
      <c r="DE190" s="161"/>
      <c r="DF190" s="161"/>
      <c r="DG190" s="161"/>
      <c r="DH190" s="161"/>
      <c r="DI190" s="161"/>
      <c r="DJ190" s="161"/>
      <c r="DK190" s="161"/>
      <c r="DL190" s="161"/>
      <c r="DM190" s="161"/>
      <c r="DN190" s="161"/>
      <c r="DO190" s="161"/>
      <c r="DP190" s="161"/>
      <c r="DQ190" s="161"/>
      <c r="DR190" s="161"/>
      <c r="DS190" s="161"/>
      <c r="DT190" s="161"/>
      <c r="DU190" s="161"/>
      <c r="DV190" s="161"/>
      <c r="DW190" s="161"/>
      <c r="DX190" s="161"/>
      <c r="DY190" s="161"/>
      <c r="DZ190" s="161"/>
      <c r="EA190" s="161"/>
      <c r="EB190" s="174"/>
    </row>
    <row r="191" spans="1:132">
      <c r="A191" s="76"/>
      <c r="BO191" s="161"/>
      <c r="BP191" s="161"/>
      <c r="BQ191" s="161"/>
      <c r="BR191" s="161"/>
      <c r="BS191" s="161"/>
      <c r="BT191" s="161"/>
      <c r="BU191" s="161"/>
      <c r="BV191" s="161"/>
      <c r="BW191" s="161"/>
      <c r="BX191" s="161"/>
      <c r="BY191" s="161"/>
      <c r="BZ191" s="161"/>
      <c r="CA191" s="161"/>
      <c r="CB191" s="161"/>
      <c r="CC191" s="161"/>
      <c r="CD191" s="161"/>
      <c r="CE191" s="161"/>
      <c r="CF191" s="161"/>
      <c r="CG191" s="161"/>
      <c r="CH191" s="161"/>
      <c r="CI191" s="161"/>
      <c r="CJ191" s="161"/>
      <c r="CK191" s="161"/>
      <c r="CL191" s="161"/>
      <c r="CM191" s="161"/>
      <c r="CN191" s="161"/>
      <c r="CO191" s="161"/>
      <c r="CP191" s="161"/>
      <c r="CQ191" s="161"/>
      <c r="CR191" s="161"/>
      <c r="CS191" s="161"/>
      <c r="CT191" s="161"/>
      <c r="CU191" s="161"/>
      <c r="CV191" s="161"/>
      <c r="CW191" s="161"/>
      <c r="CX191" s="161"/>
      <c r="CY191" s="161"/>
      <c r="CZ191" s="161"/>
      <c r="DA191" s="161"/>
      <c r="DB191" s="161"/>
      <c r="DC191" s="161"/>
      <c r="DD191" s="161"/>
      <c r="DE191" s="161"/>
      <c r="DF191" s="161"/>
      <c r="DG191" s="161"/>
      <c r="DH191" s="161"/>
      <c r="DI191" s="161"/>
      <c r="DJ191" s="161"/>
      <c r="DK191" s="161"/>
      <c r="DL191" s="161"/>
      <c r="DM191" s="161"/>
      <c r="DN191" s="161"/>
      <c r="DO191" s="161"/>
      <c r="DP191" s="161"/>
      <c r="DQ191" s="161"/>
      <c r="DR191" s="161"/>
      <c r="DS191" s="161"/>
      <c r="DT191" s="161"/>
      <c r="DU191" s="161"/>
      <c r="DV191" s="161"/>
      <c r="DW191" s="161"/>
      <c r="DX191" s="161"/>
      <c r="DY191" s="161"/>
      <c r="DZ191" s="161"/>
      <c r="EA191" s="161"/>
      <c r="EB191" s="174"/>
    </row>
    <row r="192" spans="1:132">
      <c r="A192" s="76"/>
      <c r="BO192" s="161"/>
      <c r="BP192" s="161"/>
      <c r="BQ192" s="161"/>
      <c r="BR192" s="161"/>
      <c r="BS192" s="161"/>
      <c r="BT192" s="161"/>
      <c r="BU192" s="161"/>
      <c r="BV192" s="161"/>
      <c r="BW192" s="161"/>
      <c r="BX192" s="161"/>
      <c r="BY192" s="161"/>
      <c r="BZ192" s="161"/>
      <c r="CA192" s="161"/>
      <c r="CB192" s="161"/>
      <c r="CC192" s="161"/>
      <c r="CD192" s="161"/>
      <c r="CE192" s="161"/>
      <c r="CF192" s="161"/>
      <c r="CG192" s="161"/>
      <c r="CH192" s="161"/>
      <c r="CI192" s="161"/>
      <c r="CJ192" s="161"/>
      <c r="CK192" s="161"/>
      <c r="CL192" s="161"/>
      <c r="CM192" s="161"/>
      <c r="CN192" s="161"/>
      <c r="CO192" s="161"/>
      <c r="CP192" s="161"/>
      <c r="CQ192" s="161"/>
      <c r="CR192" s="161"/>
      <c r="CS192" s="161"/>
      <c r="CT192" s="161"/>
      <c r="CU192" s="161"/>
      <c r="CV192" s="161"/>
      <c r="CW192" s="161"/>
      <c r="CX192" s="161"/>
      <c r="CY192" s="161"/>
      <c r="CZ192" s="161"/>
      <c r="DA192" s="161"/>
      <c r="DB192" s="161"/>
      <c r="DC192" s="161"/>
      <c r="DD192" s="161"/>
      <c r="DE192" s="161"/>
      <c r="DF192" s="161"/>
      <c r="DG192" s="161"/>
      <c r="DH192" s="161"/>
      <c r="DI192" s="161"/>
      <c r="DJ192" s="161"/>
      <c r="DK192" s="161"/>
      <c r="DL192" s="161"/>
      <c r="DM192" s="161"/>
      <c r="DN192" s="161"/>
      <c r="DO192" s="161"/>
      <c r="DP192" s="161"/>
      <c r="DQ192" s="161"/>
      <c r="DR192" s="161"/>
      <c r="DS192" s="161"/>
      <c r="DT192" s="161"/>
      <c r="DU192" s="161"/>
      <c r="DV192" s="161"/>
      <c r="DW192" s="161"/>
      <c r="DX192" s="161"/>
      <c r="DY192" s="161"/>
      <c r="DZ192" s="161"/>
      <c r="EA192" s="161"/>
      <c r="EB192" s="174"/>
    </row>
    <row r="193" spans="1:132">
      <c r="A193" s="76"/>
      <c r="BO193" s="161"/>
      <c r="BP193" s="161"/>
      <c r="BQ193" s="161"/>
      <c r="BR193" s="161"/>
      <c r="BS193" s="161"/>
      <c r="BT193" s="161"/>
      <c r="BU193" s="161"/>
      <c r="BV193" s="161"/>
      <c r="BW193" s="161"/>
      <c r="BX193" s="161"/>
      <c r="BY193" s="161"/>
      <c r="BZ193" s="161"/>
      <c r="CA193" s="161"/>
      <c r="CB193" s="161"/>
      <c r="CC193" s="161"/>
      <c r="CD193" s="161"/>
      <c r="CE193" s="161"/>
      <c r="CF193" s="161"/>
      <c r="CG193" s="161"/>
      <c r="CH193" s="161"/>
      <c r="CI193" s="161"/>
      <c r="CJ193" s="161"/>
      <c r="CK193" s="161"/>
      <c r="CL193" s="161"/>
      <c r="CM193" s="161"/>
      <c r="CN193" s="161"/>
      <c r="CO193" s="161"/>
      <c r="CP193" s="161"/>
      <c r="CQ193" s="161"/>
      <c r="CR193" s="161"/>
      <c r="CS193" s="161"/>
      <c r="CT193" s="161"/>
      <c r="CU193" s="161"/>
      <c r="CV193" s="161"/>
      <c r="CW193" s="161"/>
      <c r="CX193" s="161"/>
      <c r="CY193" s="161"/>
      <c r="CZ193" s="161"/>
      <c r="DA193" s="161"/>
      <c r="DB193" s="161"/>
      <c r="DC193" s="161"/>
      <c r="DD193" s="161"/>
      <c r="DE193" s="161"/>
      <c r="DF193" s="161"/>
      <c r="DG193" s="161"/>
      <c r="DH193" s="161"/>
      <c r="DI193" s="161"/>
      <c r="DJ193" s="161"/>
      <c r="DK193" s="161"/>
      <c r="DL193" s="161"/>
      <c r="DM193" s="161"/>
      <c r="DN193" s="161"/>
      <c r="DO193" s="161"/>
      <c r="DP193" s="161"/>
      <c r="DQ193" s="161"/>
      <c r="DR193" s="161"/>
      <c r="DS193" s="161"/>
      <c r="DT193" s="161"/>
      <c r="DU193" s="161"/>
      <c r="DV193" s="161"/>
      <c r="DW193" s="161"/>
      <c r="DX193" s="161"/>
      <c r="DY193" s="161"/>
      <c r="DZ193" s="161"/>
      <c r="EA193" s="161"/>
      <c r="EB193" s="174"/>
    </row>
    <row r="194" spans="1:132">
      <c r="A194" s="76"/>
      <c r="BO194" s="161"/>
      <c r="BP194" s="161"/>
      <c r="BQ194" s="161"/>
      <c r="BR194" s="161"/>
      <c r="BS194" s="161"/>
      <c r="BT194" s="161"/>
      <c r="BU194" s="161"/>
      <c r="BV194" s="161"/>
      <c r="BW194" s="161"/>
      <c r="BX194" s="161"/>
      <c r="BY194" s="161"/>
      <c r="BZ194" s="161"/>
      <c r="CA194" s="161"/>
      <c r="CB194" s="161"/>
      <c r="CC194" s="161"/>
      <c r="CD194" s="161"/>
      <c r="CE194" s="161"/>
      <c r="CF194" s="161"/>
      <c r="CG194" s="161"/>
      <c r="CH194" s="161"/>
      <c r="CI194" s="161"/>
      <c r="CJ194" s="161"/>
      <c r="CK194" s="161"/>
      <c r="CL194" s="161"/>
      <c r="CM194" s="161"/>
      <c r="CN194" s="161"/>
      <c r="CO194" s="161"/>
      <c r="CP194" s="161"/>
      <c r="CQ194" s="161"/>
      <c r="CR194" s="161"/>
      <c r="CS194" s="161"/>
      <c r="CT194" s="161"/>
      <c r="CU194" s="161"/>
      <c r="CV194" s="161"/>
      <c r="CW194" s="161"/>
      <c r="CX194" s="161"/>
      <c r="CY194" s="161"/>
      <c r="CZ194" s="161"/>
      <c r="DA194" s="161"/>
      <c r="DB194" s="161"/>
      <c r="DC194" s="161"/>
      <c r="DD194" s="161"/>
      <c r="DE194" s="161"/>
      <c r="DF194" s="161"/>
      <c r="DG194" s="161"/>
      <c r="DH194" s="161"/>
      <c r="DI194" s="161"/>
      <c r="DJ194" s="161"/>
      <c r="DK194" s="161"/>
      <c r="DL194" s="161"/>
      <c r="DM194" s="161"/>
      <c r="DN194" s="161"/>
      <c r="DO194" s="161"/>
      <c r="DP194" s="161"/>
      <c r="DQ194" s="161"/>
      <c r="DR194" s="161"/>
      <c r="DS194" s="161"/>
      <c r="DT194" s="161"/>
      <c r="DU194" s="161"/>
      <c r="DV194" s="161"/>
      <c r="DW194" s="161"/>
      <c r="DX194" s="161"/>
      <c r="DY194" s="161"/>
      <c r="DZ194" s="161"/>
      <c r="EA194" s="161"/>
      <c r="EB194" s="174"/>
    </row>
    <row r="195" spans="1:132">
      <c r="A195" s="76"/>
      <c r="BO195" s="161"/>
      <c r="BP195" s="161"/>
      <c r="BQ195" s="161"/>
      <c r="BR195" s="161"/>
      <c r="BS195" s="161"/>
      <c r="BT195" s="161"/>
      <c r="BU195" s="161"/>
      <c r="BV195" s="161"/>
      <c r="BW195" s="161"/>
      <c r="BX195" s="161"/>
      <c r="BY195" s="161"/>
      <c r="BZ195" s="161"/>
      <c r="CA195" s="161"/>
      <c r="CB195" s="161"/>
      <c r="CC195" s="161"/>
      <c r="CD195" s="161"/>
      <c r="CE195" s="161"/>
      <c r="CF195" s="161"/>
      <c r="CG195" s="161"/>
      <c r="CH195" s="161"/>
      <c r="CI195" s="161"/>
      <c r="CJ195" s="161"/>
      <c r="CK195" s="161"/>
      <c r="CL195" s="161"/>
      <c r="CM195" s="161"/>
      <c r="CN195" s="161"/>
      <c r="CO195" s="161"/>
      <c r="CP195" s="161"/>
      <c r="CQ195" s="161"/>
      <c r="CR195" s="161"/>
      <c r="CS195" s="161"/>
      <c r="CT195" s="161"/>
      <c r="CU195" s="161"/>
      <c r="CV195" s="161"/>
      <c r="CW195" s="161"/>
      <c r="CX195" s="161"/>
      <c r="CY195" s="161"/>
      <c r="CZ195" s="161"/>
      <c r="DA195" s="161"/>
      <c r="DB195" s="161"/>
      <c r="DC195" s="161"/>
      <c r="DD195" s="161"/>
      <c r="DE195" s="161"/>
      <c r="DF195" s="161"/>
      <c r="DG195" s="161"/>
      <c r="DH195" s="161"/>
      <c r="DI195" s="161"/>
      <c r="DJ195" s="161"/>
      <c r="DK195" s="161"/>
      <c r="DL195" s="161"/>
      <c r="DM195" s="161"/>
      <c r="DN195" s="161"/>
      <c r="DO195" s="161"/>
      <c r="DP195" s="161"/>
      <c r="DQ195" s="161"/>
      <c r="DR195" s="161"/>
      <c r="DS195" s="161"/>
      <c r="DT195" s="161"/>
      <c r="DU195" s="161"/>
      <c r="DV195" s="161"/>
      <c r="DW195" s="161"/>
      <c r="DX195" s="161"/>
      <c r="DY195" s="161"/>
      <c r="DZ195" s="161"/>
      <c r="EA195" s="161"/>
      <c r="EB195" s="174"/>
    </row>
    <row r="196" spans="1:132">
      <c r="A196" s="76"/>
      <c r="BO196" s="161"/>
      <c r="BP196" s="161"/>
      <c r="BQ196" s="161"/>
      <c r="BR196" s="161"/>
      <c r="BS196" s="161"/>
      <c r="BT196" s="161"/>
      <c r="BU196" s="161"/>
      <c r="BV196" s="161"/>
      <c r="BW196" s="161"/>
      <c r="BX196" s="161"/>
      <c r="BY196" s="161"/>
      <c r="BZ196" s="161"/>
      <c r="CA196" s="161"/>
      <c r="CB196" s="161"/>
      <c r="CC196" s="161"/>
      <c r="CD196" s="161"/>
      <c r="CE196" s="161"/>
      <c r="CF196" s="161"/>
      <c r="CG196" s="161"/>
      <c r="CH196" s="161"/>
      <c r="CI196" s="161"/>
      <c r="CJ196" s="161"/>
      <c r="CK196" s="161"/>
      <c r="CL196" s="161"/>
      <c r="CM196" s="161"/>
      <c r="CN196" s="161"/>
      <c r="CO196" s="161"/>
      <c r="CP196" s="161"/>
      <c r="CQ196" s="161"/>
      <c r="CR196" s="161"/>
      <c r="CS196" s="161"/>
      <c r="CT196" s="161"/>
      <c r="CU196" s="161"/>
      <c r="CV196" s="161"/>
      <c r="CW196" s="161"/>
      <c r="CX196" s="161"/>
      <c r="CY196" s="161"/>
      <c r="CZ196" s="161"/>
      <c r="DA196" s="161"/>
      <c r="DB196" s="161"/>
      <c r="DC196" s="161"/>
      <c r="DD196" s="161"/>
      <c r="DE196" s="161"/>
      <c r="DF196" s="161"/>
      <c r="DG196" s="161"/>
      <c r="DH196" s="161"/>
      <c r="DI196" s="161"/>
      <c r="DJ196" s="161"/>
      <c r="DK196" s="161"/>
      <c r="DL196" s="161"/>
      <c r="DM196" s="161"/>
      <c r="DN196" s="161"/>
      <c r="DO196" s="161"/>
      <c r="DP196" s="161"/>
      <c r="DQ196" s="161"/>
      <c r="DR196" s="161"/>
      <c r="DS196" s="161"/>
      <c r="DT196" s="161"/>
      <c r="DU196" s="161"/>
      <c r="DV196" s="161"/>
      <c r="DW196" s="161"/>
      <c r="DX196" s="161"/>
      <c r="DY196" s="161"/>
      <c r="DZ196" s="161"/>
      <c r="EA196" s="161"/>
      <c r="EB196" s="174"/>
    </row>
    <row r="197" spans="1:132">
      <c r="A197" s="76"/>
      <c r="BO197" s="161"/>
      <c r="BP197" s="161"/>
      <c r="BQ197" s="161"/>
      <c r="BR197" s="161"/>
      <c r="BS197" s="161"/>
      <c r="BT197" s="161"/>
      <c r="BU197" s="161"/>
      <c r="BV197" s="161"/>
      <c r="BW197" s="161"/>
      <c r="BX197" s="161"/>
      <c r="BY197" s="161"/>
      <c r="BZ197" s="161"/>
      <c r="CA197" s="161"/>
      <c r="CB197" s="161"/>
      <c r="CC197" s="161"/>
      <c r="CD197" s="161"/>
      <c r="CE197" s="161"/>
      <c r="CF197" s="161"/>
      <c r="CG197" s="161"/>
      <c r="CH197" s="161"/>
      <c r="CI197" s="161"/>
      <c r="CJ197" s="161"/>
      <c r="CK197" s="161"/>
      <c r="CL197" s="161"/>
      <c r="CM197" s="161"/>
      <c r="CN197" s="161"/>
      <c r="CO197" s="161"/>
      <c r="CP197" s="161"/>
      <c r="CQ197" s="161"/>
      <c r="CR197" s="161"/>
      <c r="CS197" s="161"/>
      <c r="CT197" s="161"/>
      <c r="CU197" s="161"/>
      <c r="CV197" s="161"/>
      <c r="CW197" s="161"/>
      <c r="CX197" s="161"/>
      <c r="CY197" s="161"/>
      <c r="CZ197" s="161"/>
      <c r="DA197" s="161"/>
      <c r="DB197" s="161"/>
      <c r="DC197" s="161"/>
      <c r="DD197" s="161"/>
      <c r="DE197" s="161"/>
      <c r="DF197" s="161"/>
      <c r="DG197" s="161"/>
      <c r="DH197" s="161"/>
      <c r="DI197" s="161"/>
      <c r="DJ197" s="161"/>
      <c r="DK197" s="161"/>
      <c r="DL197" s="161"/>
      <c r="DM197" s="161"/>
      <c r="DN197" s="161"/>
      <c r="DO197" s="161"/>
      <c r="DP197" s="161"/>
      <c r="DQ197" s="161"/>
      <c r="DR197" s="161"/>
      <c r="DS197" s="161"/>
      <c r="DT197" s="161"/>
      <c r="DU197" s="161"/>
      <c r="DV197" s="161"/>
      <c r="DW197" s="161"/>
      <c r="DX197" s="161"/>
      <c r="DY197" s="161"/>
      <c r="DZ197" s="161"/>
      <c r="EA197" s="161"/>
      <c r="EB197" s="174"/>
    </row>
    <row r="198" spans="1:132">
      <c r="A198" s="76"/>
      <c r="BO198" s="161"/>
      <c r="BP198" s="161"/>
      <c r="BQ198" s="161"/>
      <c r="BR198" s="161"/>
      <c r="BS198" s="161"/>
      <c r="BT198" s="161"/>
      <c r="BU198" s="161"/>
      <c r="BV198" s="161"/>
      <c r="BW198" s="161"/>
      <c r="BX198" s="161"/>
      <c r="BY198" s="161"/>
      <c r="BZ198" s="161"/>
      <c r="CA198" s="161"/>
      <c r="CB198" s="161"/>
      <c r="CC198" s="161"/>
      <c r="CD198" s="161"/>
      <c r="CE198" s="161"/>
      <c r="CF198" s="161"/>
      <c r="CG198" s="161"/>
      <c r="CH198" s="161"/>
      <c r="CI198" s="161"/>
      <c r="CJ198" s="161"/>
      <c r="CK198" s="161"/>
      <c r="CL198" s="161"/>
      <c r="CM198" s="161"/>
      <c r="CN198" s="161"/>
      <c r="CO198" s="161"/>
      <c r="CP198" s="161"/>
      <c r="CQ198" s="161"/>
      <c r="CR198" s="161"/>
      <c r="CS198" s="161"/>
      <c r="CT198" s="161"/>
      <c r="CU198" s="161"/>
      <c r="CV198" s="161"/>
      <c r="CW198" s="161"/>
      <c r="CX198" s="161"/>
      <c r="CY198" s="161"/>
      <c r="CZ198" s="161"/>
      <c r="DA198" s="161"/>
      <c r="DB198" s="161"/>
      <c r="DC198" s="161"/>
      <c r="DD198" s="161"/>
      <c r="DE198" s="161"/>
      <c r="DF198" s="161"/>
      <c r="DG198" s="161"/>
      <c r="DH198" s="161"/>
      <c r="DI198" s="161"/>
      <c r="DJ198" s="161"/>
      <c r="DK198" s="161"/>
      <c r="DL198" s="161"/>
      <c r="DM198" s="161"/>
      <c r="DN198" s="161"/>
      <c r="DO198" s="161"/>
      <c r="DP198" s="161"/>
      <c r="DQ198" s="161"/>
      <c r="DR198" s="161"/>
      <c r="DS198" s="161"/>
      <c r="DT198" s="161"/>
      <c r="DU198" s="161"/>
      <c r="DV198" s="161"/>
      <c r="DW198" s="161"/>
      <c r="DX198" s="161"/>
      <c r="DY198" s="161"/>
      <c r="DZ198" s="161"/>
      <c r="EA198" s="161"/>
      <c r="EB198" s="174"/>
    </row>
    <row r="199" spans="1:132">
      <c r="A199" s="76"/>
      <c r="BO199" s="161"/>
      <c r="BP199" s="161"/>
      <c r="BQ199" s="161"/>
      <c r="BR199" s="161"/>
      <c r="BS199" s="161"/>
      <c r="BT199" s="161"/>
      <c r="BU199" s="161"/>
      <c r="BV199" s="161"/>
      <c r="BW199" s="161"/>
      <c r="BX199" s="161"/>
      <c r="BY199" s="161"/>
      <c r="BZ199" s="161"/>
      <c r="CA199" s="161"/>
      <c r="CB199" s="161"/>
      <c r="CC199" s="161"/>
      <c r="CD199" s="161"/>
      <c r="CE199" s="161"/>
      <c r="CF199" s="161"/>
      <c r="CG199" s="161"/>
      <c r="CH199" s="161"/>
      <c r="CI199" s="161"/>
      <c r="CJ199" s="161"/>
      <c r="CK199" s="161"/>
      <c r="CL199" s="161"/>
      <c r="CM199" s="161"/>
      <c r="CN199" s="161"/>
      <c r="CO199" s="161"/>
      <c r="CP199" s="161"/>
      <c r="CQ199" s="161"/>
      <c r="CR199" s="161"/>
      <c r="CS199" s="161"/>
      <c r="CT199" s="161"/>
      <c r="CU199" s="161"/>
      <c r="CV199" s="161"/>
      <c r="CW199" s="161"/>
      <c r="CX199" s="161"/>
      <c r="CY199" s="161"/>
      <c r="CZ199" s="161"/>
      <c r="DA199" s="161"/>
      <c r="DB199" s="161"/>
      <c r="DC199" s="161"/>
      <c r="DD199" s="161"/>
      <c r="DE199" s="161"/>
      <c r="DF199" s="161"/>
      <c r="DG199" s="161"/>
      <c r="DH199" s="161"/>
      <c r="DI199" s="161"/>
      <c r="DJ199" s="161"/>
      <c r="DK199" s="161"/>
      <c r="DL199" s="161"/>
      <c r="DM199" s="161"/>
      <c r="DN199" s="161"/>
      <c r="DO199" s="161"/>
      <c r="DP199" s="161"/>
      <c r="DQ199" s="161"/>
      <c r="DR199" s="161"/>
      <c r="DS199" s="161"/>
      <c r="DT199" s="161"/>
      <c r="DU199" s="161"/>
      <c r="DV199" s="161"/>
      <c r="DW199" s="161"/>
      <c r="DX199" s="161"/>
      <c r="DY199" s="161"/>
      <c r="DZ199" s="161"/>
      <c r="EA199" s="161"/>
      <c r="EB199" s="174"/>
    </row>
    <row r="200" spans="1:132">
      <c r="A200" s="76"/>
      <c r="BO200" s="161"/>
      <c r="BP200" s="161"/>
      <c r="BQ200" s="161"/>
      <c r="BR200" s="161"/>
      <c r="BS200" s="161"/>
      <c r="BT200" s="161"/>
      <c r="BU200" s="161"/>
      <c r="BV200" s="161"/>
      <c r="BW200" s="161"/>
      <c r="BX200" s="161"/>
      <c r="BY200" s="161"/>
      <c r="BZ200" s="161"/>
      <c r="CA200" s="161"/>
      <c r="CB200" s="161"/>
      <c r="CC200" s="161"/>
      <c r="CD200" s="161"/>
      <c r="CE200" s="161"/>
      <c r="CF200" s="161"/>
      <c r="CG200" s="161"/>
      <c r="CH200" s="161"/>
      <c r="CI200" s="161"/>
      <c r="CJ200" s="161"/>
      <c r="CK200" s="161"/>
      <c r="CL200" s="161"/>
      <c r="CM200" s="161"/>
      <c r="CN200" s="161"/>
      <c r="CO200" s="161"/>
      <c r="CP200" s="161"/>
      <c r="CQ200" s="161"/>
      <c r="CR200" s="161"/>
      <c r="CS200" s="161"/>
      <c r="CT200" s="161"/>
      <c r="CU200" s="161"/>
      <c r="CV200" s="161"/>
      <c r="CW200" s="161"/>
      <c r="CX200" s="161"/>
      <c r="CY200" s="161"/>
      <c r="CZ200" s="161"/>
      <c r="DA200" s="161"/>
      <c r="DB200" s="161"/>
      <c r="DC200" s="161"/>
      <c r="DD200" s="161"/>
      <c r="DE200" s="161"/>
      <c r="DF200" s="161"/>
      <c r="DG200" s="161"/>
      <c r="DH200" s="161"/>
      <c r="DI200" s="161"/>
      <c r="DJ200" s="161"/>
      <c r="DK200" s="161"/>
      <c r="DL200" s="161"/>
      <c r="DM200" s="161"/>
      <c r="DN200" s="161"/>
      <c r="DO200" s="161"/>
      <c r="DP200" s="161"/>
      <c r="DQ200" s="161"/>
      <c r="DR200" s="161"/>
      <c r="DS200" s="161"/>
      <c r="DT200" s="161"/>
      <c r="DU200" s="161"/>
      <c r="DV200" s="161"/>
      <c r="DW200" s="161"/>
      <c r="DX200" s="161"/>
      <c r="DY200" s="161"/>
      <c r="DZ200" s="161"/>
      <c r="EA200" s="161"/>
      <c r="EB200" s="174"/>
    </row>
    <row r="201" spans="1:132">
      <c r="A201" s="76"/>
      <c r="BO201" s="161"/>
      <c r="BP201" s="161"/>
      <c r="BQ201" s="161"/>
      <c r="BR201" s="161"/>
      <c r="BS201" s="161"/>
      <c r="BT201" s="161"/>
      <c r="BU201" s="161"/>
      <c r="BV201" s="161"/>
      <c r="BW201" s="161"/>
      <c r="BX201" s="161"/>
      <c r="BY201" s="161"/>
      <c r="BZ201" s="161"/>
      <c r="CA201" s="161"/>
      <c r="CB201" s="161"/>
      <c r="CC201" s="161"/>
      <c r="CD201" s="161"/>
      <c r="CE201" s="161"/>
      <c r="CF201" s="161"/>
      <c r="CG201" s="161"/>
      <c r="CH201" s="161"/>
      <c r="CI201" s="161"/>
      <c r="CJ201" s="161"/>
      <c r="CK201" s="161"/>
      <c r="CL201" s="161"/>
      <c r="CM201" s="161"/>
      <c r="CN201" s="161"/>
      <c r="CO201" s="161"/>
      <c r="CP201" s="161"/>
      <c r="CQ201" s="161"/>
      <c r="CR201" s="161"/>
      <c r="CS201" s="161"/>
      <c r="CT201" s="161"/>
      <c r="CU201" s="161"/>
      <c r="CV201" s="161"/>
      <c r="CW201" s="161"/>
      <c r="CX201" s="161"/>
      <c r="CY201" s="161"/>
      <c r="CZ201" s="161"/>
      <c r="DA201" s="161"/>
      <c r="DB201" s="161"/>
      <c r="DC201" s="161"/>
      <c r="DD201" s="161"/>
      <c r="DE201" s="161"/>
      <c r="DF201" s="161"/>
      <c r="DG201" s="161"/>
      <c r="DH201" s="161"/>
      <c r="DI201" s="161"/>
      <c r="DJ201" s="161"/>
      <c r="DK201" s="161"/>
      <c r="DL201" s="161"/>
      <c r="DM201" s="161"/>
      <c r="DN201" s="161"/>
      <c r="DO201" s="161"/>
      <c r="DP201" s="161"/>
      <c r="DQ201" s="161"/>
      <c r="DR201" s="161"/>
      <c r="DS201" s="161"/>
      <c r="DT201" s="161"/>
      <c r="DU201" s="161"/>
      <c r="DV201" s="161"/>
      <c r="DW201" s="161"/>
      <c r="DX201" s="161"/>
      <c r="DY201" s="161"/>
      <c r="DZ201" s="161"/>
      <c r="EA201" s="161"/>
      <c r="EB201" s="174"/>
    </row>
    <row r="202" spans="1:132">
      <c r="A202" s="76"/>
      <c r="BO202" s="161"/>
      <c r="BP202" s="161"/>
      <c r="BQ202" s="161"/>
      <c r="BR202" s="161"/>
      <c r="BS202" s="161"/>
      <c r="BT202" s="161"/>
      <c r="BU202" s="161"/>
      <c r="BV202" s="161"/>
      <c r="BW202" s="161"/>
      <c r="BX202" s="161"/>
      <c r="BY202" s="161"/>
      <c r="BZ202" s="161"/>
      <c r="CA202" s="161"/>
      <c r="CB202" s="161"/>
      <c r="CC202" s="161"/>
      <c r="CD202" s="161"/>
      <c r="CE202" s="161"/>
      <c r="CF202" s="161"/>
      <c r="CG202" s="161"/>
      <c r="CH202" s="161"/>
      <c r="CI202" s="161"/>
      <c r="CJ202" s="161"/>
      <c r="CK202" s="161"/>
      <c r="CL202" s="161"/>
      <c r="CM202" s="161"/>
      <c r="CN202" s="161"/>
      <c r="CO202" s="161"/>
      <c r="CP202" s="161"/>
      <c r="CQ202" s="161"/>
      <c r="CR202" s="161"/>
      <c r="CS202" s="161"/>
      <c r="CT202" s="161"/>
      <c r="CU202" s="161"/>
      <c r="CV202" s="161"/>
      <c r="CW202" s="161"/>
      <c r="CX202" s="161"/>
      <c r="CY202" s="161"/>
      <c r="CZ202" s="161"/>
      <c r="DA202" s="161"/>
      <c r="DB202" s="161"/>
      <c r="DC202" s="161"/>
      <c r="DD202" s="161"/>
      <c r="DE202" s="161"/>
      <c r="DF202" s="161"/>
      <c r="DG202" s="161"/>
      <c r="DH202" s="161"/>
      <c r="DI202" s="161"/>
      <c r="DJ202" s="161"/>
      <c r="DK202" s="161"/>
      <c r="DL202" s="161"/>
      <c r="DM202" s="161"/>
      <c r="DN202" s="161"/>
      <c r="DO202" s="161"/>
      <c r="DP202" s="161"/>
      <c r="DQ202" s="161"/>
      <c r="DR202" s="161"/>
      <c r="DS202" s="161"/>
      <c r="DT202" s="161"/>
      <c r="DU202" s="161"/>
      <c r="DV202" s="161"/>
      <c r="DW202" s="161"/>
      <c r="DX202" s="161"/>
      <c r="DY202" s="161"/>
      <c r="DZ202" s="161"/>
      <c r="EA202" s="161"/>
      <c r="EB202" s="174"/>
    </row>
    <row r="203" spans="1:132">
      <c r="A203" s="76"/>
      <c r="BO203" s="161"/>
      <c r="BP203" s="161"/>
      <c r="BQ203" s="161"/>
      <c r="BR203" s="161"/>
      <c r="BS203" s="161"/>
      <c r="BT203" s="161"/>
      <c r="BU203" s="161"/>
      <c r="BV203" s="161"/>
      <c r="BW203" s="161"/>
      <c r="BX203" s="161"/>
      <c r="BY203" s="161"/>
      <c r="BZ203" s="161"/>
      <c r="CA203" s="161"/>
      <c r="CB203" s="161"/>
      <c r="CC203" s="161"/>
      <c r="CD203" s="161"/>
      <c r="CE203" s="161"/>
      <c r="CF203" s="161"/>
      <c r="CG203" s="161"/>
      <c r="CH203" s="161"/>
      <c r="CI203" s="161"/>
      <c r="CJ203" s="161"/>
      <c r="CK203" s="161"/>
      <c r="CL203" s="161"/>
      <c r="CM203" s="161"/>
      <c r="CN203" s="161"/>
      <c r="CO203" s="161"/>
      <c r="CP203" s="161"/>
      <c r="CQ203" s="161"/>
      <c r="CR203" s="161"/>
      <c r="CS203" s="161"/>
      <c r="CT203" s="161"/>
      <c r="CU203" s="161"/>
      <c r="CV203" s="161"/>
      <c r="CW203" s="161"/>
      <c r="CX203" s="161"/>
      <c r="CY203" s="161"/>
      <c r="CZ203" s="161"/>
      <c r="DA203" s="161"/>
      <c r="DB203" s="161"/>
      <c r="DC203" s="161"/>
      <c r="DD203" s="161"/>
      <c r="DE203" s="161"/>
      <c r="DF203" s="161"/>
      <c r="DG203" s="161"/>
      <c r="DH203" s="161"/>
      <c r="DI203" s="161"/>
      <c r="DJ203" s="161"/>
      <c r="DK203" s="161"/>
      <c r="DL203" s="161"/>
      <c r="DM203" s="161"/>
      <c r="DN203" s="161"/>
      <c r="DO203" s="161"/>
      <c r="DP203" s="161"/>
      <c r="DQ203" s="161"/>
      <c r="DR203" s="161"/>
      <c r="DS203" s="161"/>
      <c r="DT203" s="161"/>
      <c r="DU203" s="161"/>
      <c r="DV203" s="161"/>
      <c r="DW203" s="161"/>
      <c r="DX203" s="161"/>
      <c r="DY203" s="161"/>
      <c r="DZ203" s="161"/>
      <c r="EA203" s="161"/>
      <c r="EB203" s="174"/>
    </row>
    <row r="204" spans="1:132">
      <c r="BO204" s="161"/>
      <c r="BP204" s="161"/>
      <c r="BQ204" s="161"/>
      <c r="BR204" s="161"/>
      <c r="BS204" s="161"/>
      <c r="BT204" s="161"/>
      <c r="BU204" s="161"/>
      <c r="BV204" s="161"/>
      <c r="BW204" s="161"/>
      <c r="BX204" s="161"/>
      <c r="BY204" s="161"/>
      <c r="BZ204" s="161"/>
      <c r="CA204" s="161"/>
      <c r="CB204" s="161"/>
      <c r="CC204" s="161"/>
      <c r="CD204" s="161"/>
      <c r="CE204" s="161"/>
      <c r="CF204" s="161"/>
      <c r="CG204" s="161"/>
      <c r="CH204" s="161"/>
      <c r="CI204" s="161"/>
      <c r="CJ204" s="161"/>
      <c r="CK204" s="161"/>
      <c r="CL204" s="161"/>
      <c r="CM204" s="161"/>
      <c r="CN204" s="161"/>
      <c r="CO204" s="161"/>
      <c r="CP204" s="161"/>
      <c r="CQ204" s="161"/>
      <c r="CR204" s="161"/>
      <c r="CS204" s="161"/>
      <c r="CT204" s="161"/>
      <c r="CU204" s="161"/>
      <c r="CV204" s="161"/>
      <c r="CW204" s="161"/>
      <c r="CX204" s="161"/>
      <c r="CY204" s="161"/>
      <c r="CZ204" s="161"/>
      <c r="DA204" s="161"/>
      <c r="DB204" s="161"/>
      <c r="DC204" s="161"/>
      <c r="DD204" s="161"/>
      <c r="DE204" s="161"/>
      <c r="DF204" s="161"/>
      <c r="DG204" s="161"/>
      <c r="DH204" s="161"/>
      <c r="DI204" s="161"/>
      <c r="DJ204" s="161"/>
      <c r="DK204" s="161"/>
      <c r="DL204" s="161"/>
      <c r="DM204" s="161"/>
      <c r="DN204" s="161"/>
      <c r="DO204" s="161"/>
      <c r="DP204" s="161"/>
      <c r="DQ204" s="161"/>
      <c r="DR204" s="161"/>
      <c r="DS204" s="161"/>
      <c r="DT204" s="161"/>
      <c r="DU204" s="161"/>
      <c r="DV204" s="161"/>
      <c r="DW204" s="161"/>
      <c r="DX204" s="161"/>
      <c r="DY204" s="161"/>
      <c r="DZ204" s="161"/>
      <c r="EA204" s="161"/>
      <c r="EB204" s="174"/>
    </row>
    <row r="205" spans="1:132">
      <c r="BO205" s="161"/>
      <c r="BP205" s="161"/>
      <c r="BQ205" s="161"/>
      <c r="BR205" s="161"/>
      <c r="BS205" s="161"/>
      <c r="BT205" s="161"/>
      <c r="BU205" s="161"/>
      <c r="BV205" s="161"/>
      <c r="BW205" s="161"/>
      <c r="BX205" s="161"/>
      <c r="BY205" s="161"/>
      <c r="BZ205" s="161"/>
      <c r="CA205" s="161"/>
      <c r="CB205" s="161"/>
      <c r="CC205" s="161"/>
      <c r="CD205" s="161"/>
      <c r="CE205" s="161"/>
      <c r="CF205" s="161"/>
      <c r="CG205" s="161"/>
      <c r="CH205" s="161"/>
      <c r="CI205" s="161"/>
      <c r="CJ205" s="161"/>
      <c r="CK205" s="161"/>
      <c r="CL205" s="161"/>
      <c r="CM205" s="161"/>
      <c r="CN205" s="161"/>
      <c r="CO205" s="161"/>
      <c r="CP205" s="161"/>
      <c r="CQ205" s="161"/>
      <c r="CR205" s="161"/>
      <c r="CS205" s="161"/>
      <c r="CT205" s="161"/>
      <c r="CU205" s="161"/>
      <c r="CV205" s="161"/>
      <c r="CW205" s="161"/>
      <c r="CX205" s="161"/>
      <c r="CY205" s="161"/>
      <c r="CZ205" s="161"/>
      <c r="DA205" s="161"/>
      <c r="DB205" s="161"/>
      <c r="DC205" s="161"/>
      <c r="DD205" s="161"/>
      <c r="DE205" s="161"/>
      <c r="DF205" s="161"/>
      <c r="DG205" s="161"/>
      <c r="DH205" s="161"/>
      <c r="DI205" s="161"/>
      <c r="DJ205" s="161"/>
      <c r="DK205" s="161"/>
      <c r="DL205" s="161"/>
      <c r="DM205" s="161"/>
      <c r="DN205" s="161"/>
      <c r="DO205" s="161"/>
      <c r="DP205" s="161"/>
      <c r="DQ205" s="161"/>
      <c r="DR205" s="161"/>
      <c r="DS205" s="161"/>
      <c r="DT205" s="161"/>
      <c r="DU205" s="161"/>
      <c r="DV205" s="161"/>
      <c r="DW205" s="161"/>
      <c r="DX205" s="161"/>
      <c r="DY205" s="161"/>
      <c r="DZ205" s="161"/>
      <c r="EA205" s="161"/>
      <c r="EB205" s="174"/>
    </row>
    <row r="206" spans="1:132">
      <c r="BO206" s="161"/>
      <c r="BP206" s="161"/>
      <c r="BQ206" s="161"/>
      <c r="BR206" s="161"/>
      <c r="BS206" s="161"/>
      <c r="BT206" s="161"/>
      <c r="BU206" s="161"/>
      <c r="BV206" s="161"/>
      <c r="BW206" s="161"/>
      <c r="BX206" s="161"/>
      <c r="BY206" s="161"/>
      <c r="BZ206" s="161"/>
      <c r="CA206" s="161"/>
      <c r="CB206" s="161"/>
      <c r="CC206" s="161"/>
      <c r="CD206" s="161"/>
      <c r="CE206" s="161"/>
      <c r="CF206" s="161"/>
      <c r="CG206" s="161"/>
      <c r="CH206" s="161"/>
      <c r="CI206" s="161"/>
      <c r="CJ206" s="161"/>
      <c r="CK206" s="161"/>
      <c r="CL206" s="161"/>
      <c r="CM206" s="161"/>
      <c r="CN206" s="161"/>
      <c r="CO206" s="161"/>
      <c r="CP206" s="161"/>
      <c r="CQ206" s="161"/>
      <c r="CR206" s="161"/>
      <c r="CS206" s="161"/>
      <c r="CT206" s="161"/>
      <c r="CU206" s="161"/>
      <c r="CV206" s="161"/>
      <c r="CW206" s="161"/>
      <c r="CX206" s="161"/>
      <c r="CY206" s="161"/>
      <c r="CZ206" s="161"/>
      <c r="DA206" s="161"/>
      <c r="DB206" s="161"/>
      <c r="DC206" s="161"/>
      <c r="DD206" s="161"/>
      <c r="DE206" s="161"/>
      <c r="DF206" s="161"/>
      <c r="DG206" s="161"/>
      <c r="DH206" s="161"/>
      <c r="DI206" s="161"/>
      <c r="DJ206" s="161"/>
      <c r="DK206" s="161"/>
      <c r="DL206" s="161"/>
      <c r="DM206" s="161"/>
      <c r="DN206" s="161"/>
      <c r="DO206" s="161"/>
      <c r="DP206" s="161"/>
      <c r="DQ206" s="161"/>
      <c r="DR206" s="161"/>
      <c r="DS206" s="161"/>
      <c r="DT206" s="161"/>
      <c r="DU206" s="161"/>
      <c r="DV206" s="161"/>
      <c r="DW206" s="161"/>
      <c r="DX206" s="161"/>
      <c r="DY206" s="161"/>
      <c r="DZ206" s="161"/>
      <c r="EA206" s="161"/>
      <c r="EB206" s="174"/>
    </row>
    <row r="207" spans="1:132">
      <c r="BO207" s="161"/>
      <c r="BP207" s="161"/>
      <c r="BQ207" s="161"/>
      <c r="BR207" s="161"/>
      <c r="BS207" s="161"/>
      <c r="BT207" s="161"/>
      <c r="BU207" s="161"/>
      <c r="BV207" s="161"/>
      <c r="BW207" s="161"/>
      <c r="BX207" s="161"/>
      <c r="BY207" s="161"/>
      <c r="BZ207" s="161"/>
      <c r="CA207" s="161"/>
      <c r="CB207" s="161"/>
      <c r="CC207" s="161"/>
      <c r="CD207" s="161"/>
      <c r="CE207" s="161"/>
      <c r="CF207" s="161"/>
      <c r="CG207" s="161"/>
      <c r="CH207" s="161"/>
      <c r="CI207" s="161"/>
      <c r="CJ207" s="161"/>
      <c r="CK207" s="161"/>
      <c r="CL207" s="161"/>
      <c r="CM207" s="161"/>
      <c r="CN207" s="161"/>
      <c r="CO207" s="161"/>
      <c r="CP207" s="161"/>
      <c r="CQ207" s="161"/>
      <c r="CR207" s="161"/>
      <c r="CS207" s="161"/>
      <c r="CT207" s="161"/>
      <c r="CU207" s="161"/>
      <c r="CV207" s="161"/>
      <c r="CW207" s="161"/>
      <c r="CX207" s="161"/>
      <c r="CY207" s="161"/>
      <c r="CZ207" s="161"/>
      <c r="DA207" s="161"/>
      <c r="DB207" s="161"/>
      <c r="DC207" s="161"/>
      <c r="DD207" s="161"/>
      <c r="DE207" s="161"/>
      <c r="DF207" s="161"/>
      <c r="DG207" s="161"/>
      <c r="DH207" s="161"/>
      <c r="DI207" s="161"/>
      <c r="DJ207" s="161"/>
      <c r="DK207" s="161"/>
      <c r="DL207" s="161"/>
      <c r="DM207" s="161"/>
      <c r="DN207" s="161"/>
      <c r="DO207" s="161"/>
      <c r="DP207" s="161"/>
      <c r="DQ207" s="161"/>
      <c r="DR207" s="161"/>
      <c r="DS207" s="161"/>
      <c r="DT207" s="161"/>
      <c r="DU207" s="161"/>
      <c r="DV207" s="161"/>
      <c r="DW207" s="161"/>
      <c r="DX207" s="161"/>
      <c r="DY207" s="161"/>
      <c r="DZ207" s="161"/>
      <c r="EA207" s="161"/>
      <c r="EB207" s="174"/>
    </row>
    <row r="208" spans="1:132">
      <c r="BO208" s="161"/>
      <c r="BP208" s="161"/>
      <c r="BQ208" s="161"/>
      <c r="BR208" s="161"/>
      <c r="BS208" s="161"/>
      <c r="BT208" s="161"/>
      <c r="BU208" s="161"/>
      <c r="BV208" s="161"/>
      <c r="BW208" s="161"/>
      <c r="BX208" s="161"/>
      <c r="BY208" s="161"/>
      <c r="BZ208" s="161"/>
      <c r="CA208" s="161"/>
      <c r="CB208" s="161"/>
      <c r="CC208" s="161"/>
      <c r="CD208" s="161"/>
      <c r="CE208" s="161"/>
      <c r="CF208" s="161"/>
      <c r="CG208" s="161"/>
      <c r="CH208" s="161"/>
      <c r="CI208" s="161"/>
      <c r="CJ208" s="161"/>
      <c r="CK208" s="161"/>
      <c r="CL208" s="161"/>
      <c r="CM208" s="161"/>
      <c r="CN208" s="161"/>
      <c r="CO208" s="161"/>
      <c r="CP208" s="161"/>
      <c r="CQ208" s="161"/>
      <c r="CR208" s="161"/>
      <c r="CS208" s="161"/>
      <c r="CT208" s="161"/>
      <c r="CU208" s="161"/>
      <c r="CV208" s="161"/>
      <c r="CW208" s="161"/>
      <c r="CX208" s="161"/>
      <c r="CY208" s="161"/>
      <c r="CZ208" s="161"/>
      <c r="DA208" s="161"/>
      <c r="DB208" s="161"/>
      <c r="DC208" s="161"/>
      <c r="DD208" s="161"/>
      <c r="DE208" s="161"/>
      <c r="DF208" s="161"/>
      <c r="DG208" s="161"/>
      <c r="DH208" s="161"/>
      <c r="DI208" s="161"/>
      <c r="DJ208" s="161"/>
      <c r="DK208" s="161"/>
      <c r="DL208" s="161"/>
      <c r="DM208" s="161"/>
      <c r="DN208" s="161"/>
      <c r="DO208" s="161"/>
      <c r="DP208" s="161"/>
      <c r="DQ208" s="161"/>
      <c r="DR208" s="161"/>
      <c r="DS208" s="161"/>
      <c r="DT208" s="161"/>
      <c r="DU208" s="161"/>
      <c r="DV208" s="161"/>
      <c r="DW208" s="161"/>
      <c r="DX208" s="161"/>
      <c r="DY208" s="161"/>
      <c r="DZ208" s="161"/>
      <c r="EA208" s="161"/>
      <c r="EB208" s="174"/>
    </row>
    <row r="209" spans="67:132">
      <c r="BO209" s="161"/>
      <c r="BP209" s="161"/>
      <c r="BQ209" s="161"/>
      <c r="BR209" s="161"/>
      <c r="BS209" s="161"/>
      <c r="BT209" s="161"/>
      <c r="BU209" s="161"/>
      <c r="BV209" s="161"/>
      <c r="BW209" s="161"/>
      <c r="BX209" s="161"/>
      <c r="BY209" s="161"/>
      <c r="BZ209" s="161"/>
      <c r="CA209" s="161"/>
      <c r="CB209" s="161"/>
      <c r="CC209" s="161"/>
      <c r="CD209" s="161"/>
      <c r="CE209" s="161"/>
      <c r="CF209" s="161"/>
      <c r="CG209" s="161"/>
      <c r="CH209" s="161"/>
      <c r="CI209" s="161"/>
      <c r="CJ209" s="161"/>
      <c r="CK209" s="161"/>
      <c r="CL209" s="161"/>
      <c r="CM209" s="161"/>
      <c r="CN209" s="161"/>
      <c r="CO209" s="161"/>
      <c r="CP209" s="161"/>
      <c r="CQ209" s="161"/>
      <c r="CR209" s="161"/>
      <c r="CS209" s="161"/>
      <c r="CT209" s="161"/>
      <c r="CU209" s="161"/>
      <c r="CV209" s="161"/>
      <c r="CW209" s="161"/>
      <c r="CX209" s="161"/>
      <c r="CY209" s="161"/>
      <c r="CZ209" s="161"/>
      <c r="DA209" s="161"/>
      <c r="DB209" s="161"/>
      <c r="DC209" s="161"/>
      <c r="DD209" s="161"/>
      <c r="DE209" s="161"/>
      <c r="DF209" s="161"/>
      <c r="DG209" s="161"/>
      <c r="DH209" s="161"/>
      <c r="DI209" s="161"/>
      <c r="DJ209" s="161"/>
      <c r="DK209" s="161"/>
      <c r="DL209" s="161"/>
      <c r="DM209" s="161"/>
      <c r="DN209" s="161"/>
      <c r="DO209" s="161"/>
      <c r="DP209" s="161"/>
      <c r="DQ209" s="161"/>
      <c r="DR209" s="161"/>
      <c r="DS209" s="161"/>
      <c r="DT209" s="161"/>
      <c r="DU209" s="161"/>
      <c r="DV209" s="161"/>
      <c r="DW209" s="161"/>
      <c r="DX209" s="161"/>
      <c r="DY209" s="161"/>
      <c r="DZ209" s="161"/>
      <c r="EA209" s="161"/>
      <c r="EB209" s="174"/>
    </row>
    <row r="210" spans="67:132">
      <c r="BO210" s="161"/>
      <c r="BP210" s="161"/>
      <c r="BQ210" s="161"/>
      <c r="BR210" s="161"/>
      <c r="BS210" s="161"/>
      <c r="BT210" s="161"/>
      <c r="BU210" s="161"/>
      <c r="BV210" s="161"/>
      <c r="BW210" s="161"/>
      <c r="BX210" s="161"/>
      <c r="BY210" s="161"/>
      <c r="BZ210" s="161"/>
      <c r="CA210" s="161"/>
      <c r="CB210" s="161"/>
      <c r="CC210" s="161"/>
      <c r="CD210" s="161"/>
      <c r="CE210" s="161"/>
      <c r="CF210" s="161"/>
      <c r="CG210" s="161"/>
      <c r="CH210" s="161"/>
      <c r="CI210" s="161"/>
      <c r="CJ210" s="161"/>
      <c r="CK210" s="161"/>
      <c r="CL210" s="161"/>
      <c r="CM210" s="161"/>
      <c r="CN210" s="161"/>
      <c r="CO210" s="161"/>
      <c r="CP210" s="161"/>
      <c r="CQ210" s="161"/>
      <c r="CR210" s="161"/>
      <c r="CS210" s="161"/>
      <c r="CT210" s="161"/>
      <c r="CU210" s="161"/>
      <c r="CV210" s="161"/>
      <c r="CW210" s="161"/>
      <c r="CX210" s="161"/>
      <c r="CY210" s="161"/>
      <c r="CZ210" s="161"/>
      <c r="DA210" s="161"/>
      <c r="DB210" s="161"/>
      <c r="DC210" s="161"/>
      <c r="DD210" s="161"/>
      <c r="DE210" s="161"/>
      <c r="DF210" s="161"/>
      <c r="DG210" s="161"/>
      <c r="DH210" s="161"/>
      <c r="DI210" s="161"/>
      <c r="DJ210" s="161"/>
      <c r="DK210" s="161"/>
      <c r="DL210" s="161"/>
      <c r="DM210" s="161"/>
      <c r="DN210" s="161"/>
      <c r="DO210" s="161"/>
      <c r="DP210" s="161"/>
      <c r="DQ210" s="161"/>
      <c r="DR210" s="161"/>
      <c r="DS210" s="161"/>
      <c r="DT210" s="161"/>
      <c r="DU210" s="161"/>
      <c r="DV210" s="161"/>
      <c r="DW210" s="161"/>
      <c r="DX210" s="161"/>
      <c r="DY210" s="161"/>
      <c r="DZ210" s="161"/>
      <c r="EA210" s="161"/>
      <c r="EB210" s="174"/>
    </row>
    <row r="211" spans="67:132">
      <c r="BO211" s="161"/>
      <c r="BP211" s="161"/>
      <c r="BQ211" s="161"/>
      <c r="BR211" s="161"/>
      <c r="BS211" s="161"/>
      <c r="BT211" s="161"/>
      <c r="BU211" s="161"/>
      <c r="BV211" s="161"/>
      <c r="BW211" s="161"/>
      <c r="BX211" s="161"/>
      <c r="BY211" s="161"/>
      <c r="BZ211" s="161"/>
      <c r="CA211" s="161"/>
      <c r="CB211" s="161"/>
      <c r="CC211" s="161"/>
      <c r="CD211" s="161"/>
      <c r="CE211" s="161"/>
      <c r="CF211" s="161"/>
      <c r="CG211" s="161"/>
      <c r="CH211" s="161"/>
      <c r="CI211" s="161"/>
      <c r="CJ211" s="161"/>
      <c r="CK211" s="161"/>
      <c r="CL211" s="161"/>
      <c r="CM211" s="161"/>
      <c r="CN211" s="161"/>
      <c r="CO211" s="161"/>
      <c r="CP211" s="161"/>
      <c r="CQ211" s="161"/>
      <c r="CR211" s="161"/>
      <c r="CS211" s="161"/>
      <c r="CT211" s="161"/>
      <c r="CU211" s="161"/>
      <c r="CV211" s="161"/>
      <c r="CW211" s="161"/>
      <c r="CX211" s="161"/>
      <c r="CY211" s="161"/>
      <c r="CZ211" s="161"/>
      <c r="DA211" s="161"/>
      <c r="DB211" s="161"/>
      <c r="DC211" s="161"/>
      <c r="DD211" s="161"/>
      <c r="DE211" s="161"/>
      <c r="DF211" s="161"/>
      <c r="DG211" s="161"/>
      <c r="DH211" s="161"/>
      <c r="DI211" s="161"/>
      <c r="DJ211" s="161"/>
      <c r="DK211" s="161"/>
      <c r="DL211" s="161"/>
      <c r="DM211" s="161"/>
      <c r="DN211" s="161"/>
      <c r="DO211" s="161"/>
      <c r="DP211" s="161"/>
      <c r="DQ211" s="161"/>
      <c r="DR211" s="161"/>
      <c r="DS211" s="161"/>
      <c r="DT211" s="161"/>
      <c r="DU211" s="161"/>
      <c r="DV211" s="161"/>
      <c r="DW211" s="161"/>
      <c r="DX211" s="161"/>
      <c r="DY211" s="161"/>
      <c r="DZ211" s="161"/>
      <c r="EA211" s="161"/>
      <c r="EB211" s="174"/>
    </row>
    <row r="212" spans="67:132">
      <c r="BO212" s="161"/>
      <c r="BP212" s="161"/>
      <c r="BQ212" s="161"/>
      <c r="BR212" s="161"/>
      <c r="BS212" s="161"/>
      <c r="BT212" s="161"/>
      <c r="BU212" s="161"/>
      <c r="BV212" s="161"/>
      <c r="BW212" s="161"/>
      <c r="BX212" s="161"/>
      <c r="BY212" s="161"/>
      <c r="BZ212" s="161"/>
      <c r="CA212" s="161"/>
      <c r="CB212" s="161"/>
      <c r="CC212" s="161"/>
      <c r="CD212" s="161"/>
      <c r="CE212" s="161"/>
      <c r="CF212" s="161"/>
      <c r="CG212" s="161"/>
      <c r="CH212" s="161"/>
      <c r="CI212" s="161"/>
      <c r="CJ212" s="161"/>
      <c r="CK212" s="161"/>
      <c r="CL212" s="161"/>
      <c r="CM212" s="161"/>
      <c r="CN212" s="161"/>
      <c r="CO212" s="161"/>
      <c r="CP212" s="161"/>
      <c r="CQ212" s="161"/>
      <c r="CR212" s="161"/>
      <c r="CS212" s="161"/>
      <c r="CT212" s="161"/>
      <c r="CU212" s="161"/>
      <c r="CV212" s="161"/>
      <c r="CW212" s="161"/>
      <c r="CX212" s="161"/>
      <c r="CY212" s="161"/>
      <c r="CZ212" s="161"/>
      <c r="DA212" s="161"/>
      <c r="DB212" s="161"/>
      <c r="DC212" s="161"/>
      <c r="DD212" s="161"/>
      <c r="DE212" s="161"/>
      <c r="DF212" s="161"/>
      <c r="DG212" s="161"/>
      <c r="DH212" s="161"/>
      <c r="DI212" s="161"/>
      <c r="DJ212" s="161"/>
      <c r="DK212" s="161"/>
      <c r="DL212" s="161"/>
      <c r="DM212" s="161"/>
      <c r="DN212" s="161"/>
      <c r="DO212" s="161"/>
      <c r="DP212" s="161"/>
      <c r="DQ212" s="161"/>
      <c r="DR212" s="161"/>
      <c r="DS212" s="161"/>
      <c r="DT212" s="161"/>
      <c r="DU212" s="161"/>
      <c r="DV212" s="161"/>
      <c r="DW212" s="161"/>
      <c r="DX212" s="161"/>
      <c r="DY212" s="161"/>
      <c r="DZ212" s="161"/>
      <c r="EA212" s="161"/>
      <c r="EB212" s="174"/>
    </row>
    <row r="213" spans="67:132">
      <c r="BO213" s="161"/>
      <c r="BP213" s="161"/>
      <c r="BQ213" s="161"/>
      <c r="BR213" s="161"/>
      <c r="BS213" s="161"/>
      <c r="BT213" s="161"/>
      <c r="BU213" s="161"/>
      <c r="BV213" s="161"/>
      <c r="BW213" s="161"/>
      <c r="BX213" s="161"/>
      <c r="BY213" s="161"/>
      <c r="BZ213" s="161"/>
      <c r="CA213" s="161"/>
      <c r="CB213" s="161"/>
      <c r="CC213" s="161"/>
      <c r="CD213" s="161"/>
      <c r="CE213" s="161"/>
      <c r="CF213" s="161"/>
      <c r="CG213" s="161"/>
      <c r="CH213" s="161"/>
      <c r="CI213" s="161"/>
      <c r="CJ213" s="161"/>
      <c r="CK213" s="161"/>
      <c r="CL213" s="161"/>
      <c r="CM213" s="161"/>
      <c r="CN213" s="161"/>
      <c r="CO213" s="161"/>
      <c r="CP213" s="161"/>
      <c r="CQ213" s="161"/>
      <c r="CR213" s="161"/>
      <c r="CS213" s="161"/>
      <c r="CT213" s="161"/>
      <c r="CU213" s="161"/>
      <c r="CV213" s="161"/>
      <c r="CW213" s="161"/>
      <c r="CX213" s="161"/>
      <c r="CY213" s="161"/>
      <c r="CZ213" s="161"/>
      <c r="DA213" s="161"/>
      <c r="DB213" s="161"/>
      <c r="DC213" s="161"/>
      <c r="DD213" s="161"/>
      <c r="DE213" s="161"/>
      <c r="DF213" s="161"/>
      <c r="DG213" s="161"/>
      <c r="DH213" s="161"/>
      <c r="DI213" s="161"/>
      <c r="DJ213" s="161"/>
      <c r="DK213" s="161"/>
      <c r="DL213" s="161"/>
      <c r="DM213" s="161"/>
      <c r="DN213" s="161"/>
      <c r="DO213" s="161"/>
      <c r="DP213" s="161"/>
      <c r="DQ213" s="161"/>
      <c r="DR213" s="161"/>
      <c r="DS213" s="161"/>
      <c r="DT213" s="161"/>
      <c r="DU213" s="161"/>
      <c r="DV213" s="161"/>
      <c r="DW213" s="161"/>
      <c r="DX213" s="161"/>
      <c r="DY213" s="161"/>
      <c r="DZ213" s="161"/>
      <c r="EA213" s="161"/>
      <c r="EB213" s="174"/>
    </row>
    <row r="214" spans="67:132">
      <c r="BO214" s="161"/>
      <c r="BP214" s="161"/>
      <c r="BQ214" s="161"/>
      <c r="BR214" s="161"/>
      <c r="BS214" s="161"/>
      <c r="BT214" s="161"/>
      <c r="BU214" s="161"/>
      <c r="BV214" s="161"/>
      <c r="BW214" s="161"/>
      <c r="BX214" s="161"/>
      <c r="BY214" s="161"/>
      <c r="BZ214" s="161"/>
      <c r="CA214" s="161"/>
      <c r="CB214" s="161"/>
      <c r="CC214" s="161"/>
      <c r="CD214" s="161"/>
      <c r="CE214" s="161"/>
      <c r="CF214" s="161"/>
      <c r="CG214" s="161"/>
      <c r="CH214" s="161"/>
      <c r="CI214" s="161"/>
      <c r="CJ214" s="161"/>
      <c r="CK214" s="161"/>
      <c r="CL214" s="161"/>
      <c r="CM214" s="161"/>
      <c r="CN214" s="161"/>
      <c r="CO214" s="161"/>
      <c r="CP214" s="161"/>
      <c r="CQ214" s="161"/>
      <c r="CR214" s="161"/>
      <c r="CS214" s="161"/>
      <c r="CT214" s="161"/>
      <c r="CU214" s="161"/>
      <c r="CV214" s="161"/>
      <c r="CW214" s="161"/>
      <c r="CX214" s="161"/>
      <c r="CY214" s="161"/>
      <c r="CZ214" s="161"/>
      <c r="DA214" s="161"/>
      <c r="DB214" s="161"/>
      <c r="DC214" s="161"/>
      <c r="DD214" s="161"/>
      <c r="DE214" s="161"/>
      <c r="DF214" s="161"/>
      <c r="DG214" s="161"/>
      <c r="DH214" s="161"/>
      <c r="DI214" s="161"/>
      <c r="DJ214" s="161"/>
      <c r="DK214" s="161"/>
      <c r="DL214" s="161"/>
      <c r="DM214" s="161"/>
      <c r="DN214" s="161"/>
      <c r="DO214" s="161"/>
      <c r="DP214" s="161"/>
      <c r="DQ214" s="161"/>
      <c r="DR214" s="161"/>
      <c r="DS214" s="161"/>
      <c r="DT214" s="161"/>
      <c r="DU214" s="161"/>
      <c r="DV214" s="161"/>
      <c r="DW214" s="161"/>
      <c r="DX214" s="161"/>
      <c r="DY214" s="161"/>
      <c r="DZ214" s="161"/>
      <c r="EA214" s="161"/>
      <c r="EB214" s="174"/>
    </row>
    <row r="215" spans="67:132">
      <c r="BO215" s="161"/>
      <c r="BP215" s="161"/>
      <c r="BQ215" s="161"/>
      <c r="BR215" s="161"/>
      <c r="BS215" s="161"/>
      <c r="BT215" s="161"/>
      <c r="BU215" s="161"/>
      <c r="BV215" s="161"/>
      <c r="BW215" s="161"/>
      <c r="BX215" s="161"/>
      <c r="BY215" s="161"/>
      <c r="BZ215" s="161"/>
      <c r="CA215" s="161"/>
      <c r="CB215" s="161"/>
      <c r="CC215" s="161"/>
      <c r="CD215" s="161"/>
      <c r="CE215" s="161"/>
      <c r="CF215" s="161"/>
      <c r="CG215" s="161"/>
      <c r="CH215" s="161"/>
      <c r="CI215" s="161"/>
      <c r="CJ215" s="161"/>
      <c r="CK215" s="161"/>
      <c r="CL215" s="161"/>
      <c r="CM215" s="161"/>
      <c r="CN215" s="161"/>
      <c r="CO215" s="161"/>
      <c r="CP215" s="161"/>
      <c r="CQ215" s="161"/>
      <c r="CR215" s="161"/>
      <c r="CS215" s="161"/>
      <c r="CT215" s="161"/>
      <c r="CU215" s="161"/>
      <c r="CV215" s="161"/>
      <c r="CW215" s="161"/>
      <c r="CX215" s="161"/>
      <c r="CY215" s="161"/>
      <c r="CZ215" s="161"/>
      <c r="DA215" s="161"/>
      <c r="DB215" s="161"/>
      <c r="DC215" s="161"/>
      <c r="DD215" s="161"/>
      <c r="DE215" s="161"/>
      <c r="DF215" s="161"/>
      <c r="DG215" s="161"/>
      <c r="DH215" s="161"/>
      <c r="DI215" s="161"/>
      <c r="DJ215" s="161"/>
      <c r="DK215" s="161"/>
      <c r="DL215" s="161"/>
      <c r="DM215" s="161"/>
      <c r="DN215" s="161"/>
      <c r="DO215" s="161"/>
      <c r="DP215" s="161"/>
      <c r="DQ215" s="161"/>
      <c r="DR215" s="161"/>
      <c r="DS215" s="161"/>
      <c r="DT215" s="161"/>
      <c r="DU215" s="161"/>
      <c r="DV215" s="161"/>
      <c r="DW215" s="161"/>
      <c r="DX215" s="161"/>
      <c r="DY215" s="161"/>
      <c r="DZ215" s="161"/>
      <c r="EA215" s="161"/>
      <c r="EB215" s="174"/>
    </row>
    <row r="216" spans="67:132">
      <c r="BO216" s="161"/>
      <c r="BP216" s="161"/>
      <c r="BQ216" s="161"/>
      <c r="BR216" s="161"/>
      <c r="BS216" s="161"/>
      <c r="BT216" s="161"/>
      <c r="BU216" s="161"/>
      <c r="BV216" s="161"/>
      <c r="BW216" s="161"/>
      <c r="BX216" s="161"/>
      <c r="BY216" s="161"/>
      <c r="BZ216" s="161"/>
      <c r="CA216" s="161"/>
      <c r="CB216" s="161"/>
      <c r="CC216" s="161"/>
      <c r="CD216" s="161"/>
      <c r="CE216" s="161"/>
      <c r="CF216" s="161"/>
      <c r="CG216" s="161"/>
      <c r="CH216" s="161"/>
      <c r="CI216" s="161"/>
      <c r="CJ216" s="161"/>
      <c r="CK216" s="161"/>
      <c r="CL216" s="161"/>
      <c r="CM216" s="161"/>
      <c r="CN216" s="161"/>
      <c r="CO216" s="161"/>
      <c r="CP216" s="161"/>
      <c r="CQ216" s="161"/>
      <c r="CR216" s="161"/>
      <c r="CS216" s="161"/>
      <c r="CT216" s="161"/>
      <c r="CU216" s="161"/>
      <c r="CV216" s="161"/>
      <c r="CW216" s="161"/>
      <c r="CX216" s="161"/>
      <c r="CY216" s="161"/>
      <c r="CZ216" s="161"/>
      <c r="DA216" s="161"/>
      <c r="DB216" s="161"/>
      <c r="DC216" s="161"/>
      <c r="DD216" s="161"/>
      <c r="DE216" s="161"/>
      <c r="DF216" s="161"/>
      <c r="DG216" s="161"/>
      <c r="DH216" s="161"/>
      <c r="DI216" s="161"/>
      <c r="DJ216" s="161"/>
      <c r="DK216" s="161"/>
      <c r="DL216" s="161"/>
      <c r="DM216" s="161"/>
      <c r="DN216" s="161"/>
      <c r="DO216" s="161"/>
      <c r="DP216" s="161"/>
      <c r="DQ216" s="161"/>
      <c r="DR216" s="161"/>
      <c r="DS216" s="161"/>
      <c r="DT216" s="161"/>
      <c r="DU216" s="161"/>
      <c r="DV216" s="161"/>
      <c r="DW216" s="161"/>
      <c r="DX216" s="161"/>
      <c r="DY216" s="161"/>
      <c r="DZ216" s="161"/>
      <c r="EA216" s="161"/>
      <c r="EB216" s="174"/>
    </row>
    <row r="217" spans="67:132">
      <c r="BO217" s="161"/>
      <c r="BP217" s="161"/>
      <c r="BQ217" s="161"/>
      <c r="BR217" s="161"/>
      <c r="BS217" s="161"/>
      <c r="BT217" s="161"/>
      <c r="BU217" s="161"/>
      <c r="BV217" s="161"/>
      <c r="BW217" s="161"/>
      <c r="BX217" s="161"/>
      <c r="BY217" s="161"/>
      <c r="BZ217" s="161"/>
      <c r="CA217" s="161"/>
      <c r="CB217" s="161"/>
      <c r="CC217" s="161"/>
      <c r="CD217" s="161"/>
      <c r="CE217" s="161"/>
      <c r="CF217" s="161"/>
      <c r="CG217" s="161"/>
      <c r="CH217" s="161"/>
      <c r="CI217" s="161"/>
      <c r="CJ217" s="161"/>
      <c r="CK217" s="161"/>
      <c r="CL217" s="161"/>
      <c r="CM217" s="161"/>
      <c r="CN217" s="161"/>
      <c r="CO217" s="161"/>
      <c r="CP217" s="161"/>
      <c r="CQ217" s="161"/>
      <c r="CR217" s="161"/>
      <c r="CS217" s="161"/>
      <c r="CT217" s="161"/>
      <c r="CU217" s="161"/>
      <c r="CV217" s="161"/>
      <c r="CW217" s="161"/>
      <c r="CX217" s="161"/>
      <c r="CY217" s="161"/>
      <c r="CZ217" s="161"/>
      <c r="DA217" s="161"/>
      <c r="DB217" s="161"/>
      <c r="DC217" s="161"/>
      <c r="DD217" s="161"/>
      <c r="DE217" s="161"/>
      <c r="DF217" s="161"/>
      <c r="DG217" s="161"/>
      <c r="DH217" s="161"/>
      <c r="DI217" s="161"/>
      <c r="DJ217" s="161"/>
      <c r="DK217" s="161"/>
      <c r="DL217" s="161"/>
      <c r="DM217" s="161"/>
      <c r="DN217" s="161"/>
      <c r="DO217" s="161"/>
      <c r="DP217" s="161"/>
      <c r="DQ217" s="161"/>
      <c r="DR217" s="161"/>
      <c r="DS217" s="161"/>
      <c r="DT217" s="161"/>
      <c r="DU217" s="161"/>
      <c r="DV217" s="161"/>
      <c r="DW217" s="161"/>
      <c r="DX217" s="161"/>
      <c r="DY217" s="161"/>
      <c r="DZ217" s="161"/>
      <c r="EA217" s="161"/>
      <c r="EB217" s="174"/>
    </row>
    <row r="218" spans="67:132">
      <c r="BO218" s="161"/>
      <c r="BP218" s="161"/>
      <c r="BQ218" s="161"/>
      <c r="BR218" s="161"/>
      <c r="BS218" s="161"/>
      <c r="BT218" s="161"/>
      <c r="BU218" s="161"/>
      <c r="BV218" s="161"/>
      <c r="BW218" s="161"/>
      <c r="BX218" s="161"/>
      <c r="BY218" s="161"/>
      <c r="BZ218" s="161"/>
      <c r="CA218" s="161"/>
      <c r="CB218" s="161"/>
      <c r="CC218" s="161"/>
      <c r="CD218" s="161"/>
      <c r="CE218" s="161"/>
      <c r="CF218" s="161"/>
      <c r="CG218" s="161"/>
      <c r="CH218" s="161"/>
      <c r="CI218" s="161"/>
      <c r="CJ218" s="161"/>
      <c r="CK218" s="161"/>
      <c r="CL218" s="161"/>
      <c r="CM218" s="161"/>
      <c r="CN218" s="161"/>
      <c r="CO218" s="161"/>
      <c r="CP218" s="161"/>
      <c r="CQ218" s="161"/>
      <c r="CR218" s="161"/>
      <c r="CS218" s="161"/>
      <c r="CT218" s="161"/>
      <c r="CU218" s="161"/>
      <c r="CV218" s="161"/>
      <c r="CW218" s="161"/>
      <c r="CX218" s="161"/>
      <c r="CY218" s="161"/>
      <c r="CZ218" s="161"/>
      <c r="DA218" s="161"/>
      <c r="DB218" s="161"/>
      <c r="DC218" s="161"/>
      <c r="DD218" s="161"/>
      <c r="DE218" s="161"/>
      <c r="DF218" s="161"/>
      <c r="DG218" s="161"/>
      <c r="DH218" s="161"/>
      <c r="DI218" s="161"/>
      <c r="DJ218" s="161"/>
      <c r="DK218" s="161"/>
      <c r="DL218" s="161"/>
      <c r="DM218" s="161"/>
      <c r="DN218" s="161"/>
      <c r="DO218" s="161"/>
      <c r="DP218" s="161"/>
      <c r="DQ218" s="161"/>
      <c r="DR218" s="161"/>
      <c r="DS218" s="161"/>
      <c r="DT218" s="161"/>
      <c r="DU218" s="161"/>
      <c r="DV218" s="161"/>
      <c r="DW218" s="161"/>
      <c r="DX218" s="161"/>
      <c r="DY218" s="161"/>
      <c r="DZ218" s="161"/>
      <c r="EA218" s="161"/>
      <c r="EB218" s="174"/>
    </row>
    <row r="219" spans="67:132">
      <c r="BO219" s="161"/>
      <c r="BP219" s="161"/>
      <c r="BQ219" s="161"/>
      <c r="BR219" s="161"/>
      <c r="BS219" s="161"/>
      <c r="BT219" s="161"/>
      <c r="BU219" s="161"/>
      <c r="BV219" s="161"/>
      <c r="BW219" s="161"/>
      <c r="BX219" s="161"/>
      <c r="BY219" s="161"/>
      <c r="BZ219" s="161"/>
      <c r="CA219" s="161"/>
      <c r="CB219" s="161"/>
      <c r="CC219" s="161"/>
      <c r="CD219" s="161"/>
      <c r="CE219" s="161"/>
      <c r="CF219" s="161"/>
      <c r="CG219" s="161"/>
      <c r="CH219" s="161"/>
      <c r="CI219" s="161"/>
      <c r="CJ219" s="161"/>
      <c r="CK219" s="161"/>
      <c r="CL219" s="161"/>
      <c r="CM219" s="161"/>
      <c r="CN219" s="161"/>
      <c r="CO219" s="161"/>
      <c r="CP219" s="161"/>
      <c r="CQ219" s="161"/>
      <c r="CR219" s="161"/>
      <c r="CS219" s="161"/>
      <c r="CT219" s="161"/>
      <c r="CU219" s="161"/>
      <c r="CV219" s="161"/>
      <c r="CW219" s="161"/>
      <c r="CX219" s="161"/>
      <c r="CY219" s="161"/>
      <c r="CZ219" s="161"/>
      <c r="DA219" s="161"/>
      <c r="DB219" s="161"/>
      <c r="DC219" s="161"/>
      <c r="DD219" s="161"/>
      <c r="DE219" s="161"/>
      <c r="DF219" s="161"/>
      <c r="DG219" s="161"/>
      <c r="DH219" s="161"/>
      <c r="DI219" s="161"/>
      <c r="DJ219" s="161"/>
      <c r="DK219" s="161"/>
      <c r="DL219" s="161"/>
      <c r="DM219" s="161"/>
      <c r="DN219" s="161"/>
      <c r="DO219" s="161"/>
      <c r="DP219" s="161"/>
      <c r="DQ219" s="161"/>
      <c r="DR219" s="161"/>
      <c r="DS219" s="161"/>
      <c r="DT219" s="161"/>
      <c r="DU219" s="161"/>
      <c r="DV219" s="161"/>
      <c r="DW219" s="161"/>
      <c r="DX219" s="161"/>
      <c r="DY219" s="161"/>
      <c r="DZ219" s="161"/>
      <c r="EA219" s="161"/>
      <c r="EB219" s="174"/>
    </row>
    <row r="220" spans="67:132">
      <c r="BO220" s="161"/>
      <c r="BP220" s="161"/>
      <c r="BQ220" s="161"/>
      <c r="BR220" s="161"/>
      <c r="BS220" s="161"/>
      <c r="BT220" s="161"/>
      <c r="BU220" s="161"/>
      <c r="BV220" s="161"/>
      <c r="BW220" s="161"/>
      <c r="BX220" s="161"/>
      <c r="BY220" s="161"/>
      <c r="BZ220" s="161"/>
      <c r="CA220" s="161"/>
      <c r="CB220" s="161"/>
      <c r="CC220" s="161"/>
      <c r="CD220" s="161"/>
      <c r="CE220" s="161"/>
      <c r="CF220" s="161"/>
      <c r="CG220" s="161"/>
      <c r="CH220" s="161"/>
      <c r="CI220" s="161"/>
      <c r="CJ220" s="161"/>
      <c r="CK220" s="161"/>
      <c r="CL220" s="161"/>
      <c r="CM220" s="161"/>
      <c r="CN220" s="161"/>
      <c r="CO220" s="161"/>
      <c r="CP220" s="161"/>
      <c r="CQ220" s="161"/>
      <c r="CR220" s="161"/>
      <c r="CS220" s="161"/>
      <c r="CT220" s="161"/>
      <c r="CU220" s="161"/>
      <c r="CV220" s="161"/>
      <c r="CW220" s="161"/>
      <c r="CX220" s="161"/>
      <c r="CY220" s="161"/>
      <c r="CZ220" s="161"/>
      <c r="DA220" s="161"/>
      <c r="DB220" s="161"/>
      <c r="DC220" s="161"/>
      <c r="DD220" s="161"/>
      <c r="DE220" s="161"/>
      <c r="DF220" s="161"/>
      <c r="DG220" s="161"/>
      <c r="DH220" s="161"/>
      <c r="DI220" s="161"/>
      <c r="DJ220" s="161"/>
      <c r="DK220" s="161"/>
      <c r="DL220" s="161"/>
      <c r="DM220" s="161"/>
      <c r="DN220" s="161"/>
      <c r="DO220" s="161"/>
      <c r="DP220" s="161"/>
      <c r="DQ220" s="161"/>
      <c r="DR220" s="161"/>
      <c r="DS220" s="161"/>
      <c r="DT220" s="161"/>
      <c r="DU220" s="161"/>
      <c r="DV220" s="161"/>
      <c r="DW220" s="161"/>
      <c r="DX220" s="161"/>
      <c r="DY220" s="161"/>
      <c r="DZ220" s="161"/>
      <c r="EA220" s="161"/>
      <c r="EB220" s="174"/>
    </row>
    <row r="221" spans="67:132">
      <c r="BO221" s="161"/>
      <c r="BP221" s="161"/>
      <c r="BQ221" s="161"/>
      <c r="BR221" s="161"/>
      <c r="BS221" s="161"/>
      <c r="BT221" s="161"/>
      <c r="BU221" s="161"/>
      <c r="BV221" s="161"/>
      <c r="BW221" s="161"/>
      <c r="BX221" s="161"/>
      <c r="BY221" s="161"/>
      <c r="BZ221" s="161"/>
      <c r="CA221" s="161"/>
      <c r="CB221" s="161"/>
      <c r="CC221" s="161"/>
      <c r="CD221" s="161"/>
      <c r="CE221" s="161"/>
      <c r="CF221" s="161"/>
      <c r="CG221" s="161"/>
      <c r="CH221" s="161"/>
      <c r="CI221" s="161"/>
      <c r="CJ221" s="161"/>
      <c r="CK221" s="161"/>
      <c r="CL221" s="161"/>
      <c r="CM221" s="161"/>
      <c r="CN221" s="161"/>
      <c r="CO221" s="161"/>
      <c r="CP221" s="161"/>
      <c r="CQ221" s="161"/>
      <c r="CR221" s="161"/>
      <c r="CS221" s="161"/>
      <c r="CT221" s="161"/>
      <c r="CU221" s="161"/>
      <c r="CV221" s="161"/>
      <c r="CW221" s="161"/>
      <c r="CX221" s="161"/>
      <c r="CY221" s="161"/>
      <c r="CZ221" s="161"/>
      <c r="DA221" s="161"/>
      <c r="DB221" s="161"/>
      <c r="DC221" s="161"/>
      <c r="DD221" s="161"/>
      <c r="DE221" s="161"/>
      <c r="DF221" s="161"/>
      <c r="DG221" s="161"/>
      <c r="DH221" s="161"/>
      <c r="DI221" s="161"/>
      <c r="DJ221" s="161"/>
      <c r="DK221" s="161"/>
      <c r="DL221" s="161"/>
      <c r="DM221" s="161"/>
      <c r="DN221" s="161"/>
      <c r="DO221" s="161"/>
      <c r="DP221" s="161"/>
      <c r="DQ221" s="161"/>
      <c r="DR221" s="161"/>
      <c r="DS221" s="161"/>
      <c r="DT221" s="161"/>
      <c r="DU221" s="161"/>
      <c r="DV221" s="161"/>
      <c r="DW221" s="161"/>
      <c r="DX221" s="161"/>
      <c r="DY221" s="161"/>
      <c r="DZ221" s="161"/>
      <c r="EA221" s="161"/>
      <c r="EB221" s="174"/>
    </row>
    <row r="222" spans="67:132">
      <c r="BO222" s="161"/>
      <c r="BP222" s="161"/>
      <c r="BQ222" s="161"/>
      <c r="BR222" s="161"/>
      <c r="BS222" s="161"/>
      <c r="BT222" s="161"/>
      <c r="BU222" s="161"/>
      <c r="BV222" s="161"/>
      <c r="BW222" s="161"/>
      <c r="BX222" s="161"/>
      <c r="BY222" s="161"/>
      <c r="BZ222" s="161"/>
      <c r="CA222" s="161"/>
      <c r="CB222" s="161"/>
      <c r="CC222" s="161"/>
      <c r="CD222" s="161"/>
      <c r="CE222" s="161"/>
      <c r="CF222" s="161"/>
      <c r="CG222" s="161"/>
      <c r="CH222" s="161"/>
      <c r="CI222" s="161"/>
      <c r="CJ222" s="161"/>
      <c r="CK222" s="161"/>
      <c r="CL222" s="161"/>
      <c r="CM222" s="161"/>
      <c r="CN222" s="161"/>
      <c r="CO222" s="161"/>
      <c r="CP222" s="161"/>
      <c r="CQ222" s="161"/>
      <c r="CR222" s="161"/>
      <c r="CS222" s="161"/>
      <c r="CT222" s="161"/>
      <c r="CU222" s="161"/>
      <c r="CV222" s="161"/>
      <c r="CW222" s="161"/>
      <c r="CX222" s="161"/>
      <c r="CY222" s="161"/>
      <c r="CZ222" s="161"/>
      <c r="DA222" s="161"/>
      <c r="DB222" s="161"/>
      <c r="DC222" s="161"/>
      <c r="DD222" s="161"/>
      <c r="DE222" s="161"/>
      <c r="DF222" s="161"/>
      <c r="DG222" s="161"/>
      <c r="DH222" s="161"/>
      <c r="DI222" s="161"/>
      <c r="DJ222" s="161"/>
      <c r="DK222" s="161"/>
      <c r="DL222" s="161"/>
      <c r="DM222" s="161"/>
      <c r="DN222" s="161"/>
      <c r="DO222" s="161"/>
      <c r="DP222" s="161"/>
      <c r="DQ222" s="161"/>
      <c r="DR222" s="161"/>
      <c r="DS222" s="161"/>
      <c r="DT222" s="161"/>
      <c r="DU222" s="161"/>
      <c r="DV222" s="161"/>
      <c r="DW222" s="161"/>
      <c r="DX222" s="161"/>
      <c r="DY222" s="161"/>
      <c r="DZ222" s="161"/>
      <c r="EA222" s="161"/>
      <c r="EB222" s="174"/>
    </row>
    <row r="223" spans="67:132">
      <c r="BO223" s="161"/>
      <c r="BP223" s="161"/>
      <c r="BQ223" s="161"/>
      <c r="BR223" s="161"/>
      <c r="BS223" s="161"/>
      <c r="BT223" s="161"/>
      <c r="BU223" s="161"/>
      <c r="BV223" s="161"/>
      <c r="BW223" s="161"/>
      <c r="BX223" s="161"/>
      <c r="BY223" s="161"/>
      <c r="BZ223" s="161"/>
      <c r="CA223" s="161"/>
      <c r="CB223" s="161"/>
      <c r="CC223" s="161"/>
      <c r="CD223" s="161"/>
      <c r="CE223" s="161"/>
      <c r="CF223" s="161"/>
      <c r="CG223" s="161"/>
      <c r="CH223" s="161"/>
      <c r="CI223" s="161"/>
      <c r="CJ223" s="161"/>
      <c r="CK223" s="161"/>
      <c r="CL223" s="161"/>
      <c r="CM223" s="161"/>
      <c r="CN223" s="161"/>
      <c r="CO223" s="161"/>
      <c r="CP223" s="161"/>
      <c r="CQ223" s="161"/>
      <c r="CR223" s="161"/>
      <c r="CS223" s="161"/>
      <c r="CT223" s="161"/>
      <c r="CU223" s="161"/>
      <c r="CV223" s="161"/>
      <c r="CW223" s="161"/>
      <c r="CX223" s="161"/>
      <c r="CY223" s="161"/>
      <c r="CZ223" s="161"/>
      <c r="DA223" s="161"/>
      <c r="DB223" s="161"/>
      <c r="DC223" s="161"/>
      <c r="DD223" s="161"/>
      <c r="DE223" s="161"/>
      <c r="DF223" s="161"/>
      <c r="DG223" s="161"/>
      <c r="DH223" s="161"/>
      <c r="DI223" s="161"/>
      <c r="DJ223" s="161"/>
      <c r="DK223" s="161"/>
      <c r="DL223" s="161"/>
      <c r="DM223" s="161"/>
      <c r="DN223" s="161"/>
      <c r="DO223" s="161"/>
      <c r="DP223" s="161"/>
      <c r="DQ223" s="161"/>
      <c r="DR223" s="161"/>
      <c r="DS223" s="161"/>
      <c r="DT223" s="161"/>
      <c r="DU223" s="161"/>
      <c r="DV223" s="161"/>
      <c r="DW223" s="161"/>
      <c r="DX223" s="161"/>
      <c r="DY223" s="161"/>
      <c r="DZ223" s="161"/>
      <c r="EA223" s="161"/>
      <c r="EB223" s="174"/>
    </row>
    <row r="224" spans="67:132">
      <c r="BO224" s="161"/>
      <c r="BP224" s="161"/>
      <c r="BQ224" s="161"/>
      <c r="BR224" s="161"/>
      <c r="BS224" s="161"/>
      <c r="BT224" s="161"/>
      <c r="BU224" s="161"/>
      <c r="BV224" s="161"/>
      <c r="BW224" s="161"/>
      <c r="BX224" s="161"/>
      <c r="BY224" s="161"/>
      <c r="BZ224" s="161"/>
      <c r="CA224" s="161"/>
      <c r="CB224" s="161"/>
      <c r="CC224" s="161"/>
      <c r="CD224" s="161"/>
      <c r="CE224" s="161"/>
      <c r="CF224" s="161"/>
      <c r="CG224" s="161"/>
      <c r="CH224" s="161"/>
      <c r="CI224" s="161"/>
      <c r="CJ224" s="161"/>
      <c r="CK224" s="161"/>
      <c r="CL224" s="161"/>
      <c r="CM224" s="161"/>
      <c r="CN224" s="161"/>
      <c r="CO224" s="161"/>
      <c r="CP224" s="161"/>
      <c r="CQ224" s="161"/>
      <c r="CR224" s="161"/>
      <c r="CS224" s="161"/>
      <c r="CT224" s="161"/>
      <c r="CU224" s="161"/>
      <c r="CV224" s="161"/>
      <c r="CW224" s="161"/>
      <c r="CX224" s="161"/>
      <c r="CY224" s="161"/>
      <c r="CZ224" s="161"/>
      <c r="DA224" s="161"/>
      <c r="DB224" s="161"/>
      <c r="DC224" s="161"/>
      <c r="DD224" s="161"/>
      <c r="DE224" s="161"/>
      <c r="DF224" s="161"/>
      <c r="DG224" s="161"/>
      <c r="DH224" s="161"/>
      <c r="DI224" s="161"/>
      <c r="DJ224" s="161"/>
      <c r="DK224" s="161"/>
      <c r="DL224" s="161"/>
      <c r="DM224" s="161"/>
      <c r="DN224" s="161"/>
      <c r="DO224" s="161"/>
      <c r="DP224" s="161"/>
      <c r="DQ224" s="161"/>
      <c r="DR224" s="161"/>
      <c r="DS224" s="161"/>
      <c r="DT224" s="161"/>
      <c r="DU224" s="161"/>
      <c r="DV224" s="161"/>
      <c r="DW224" s="161"/>
      <c r="DX224" s="161"/>
      <c r="DY224" s="161"/>
      <c r="DZ224" s="161"/>
      <c r="EA224" s="161"/>
      <c r="EB224" s="174"/>
    </row>
    <row r="225" spans="67:132">
      <c r="BO225" s="161"/>
      <c r="BP225" s="161"/>
      <c r="BQ225" s="161"/>
      <c r="BR225" s="161"/>
      <c r="BS225" s="161"/>
      <c r="BT225" s="161"/>
      <c r="BU225" s="161"/>
      <c r="BV225" s="161"/>
      <c r="BW225" s="161"/>
      <c r="BX225" s="161"/>
      <c r="BY225" s="161"/>
      <c r="BZ225" s="161"/>
      <c r="CA225" s="161"/>
      <c r="CB225" s="161"/>
      <c r="CC225" s="161"/>
      <c r="CD225" s="161"/>
      <c r="CE225" s="161"/>
      <c r="CF225" s="161"/>
      <c r="CG225" s="161"/>
      <c r="CH225" s="161"/>
      <c r="CI225" s="161"/>
      <c r="CJ225" s="161"/>
      <c r="CK225" s="161"/>
      <c r="CL225" s="161"/>
      <c r="CM225" s="161"/>
      <c r="CN225" s="161"/>
      <c r="CO225" s="161"/>
      <c r="CP225" s="161"/>
      <c r="CQ225" s="161"/>
      <c r="CR225" s="161"/>
      <c r="CS225" s="161"/>
      <c r="CT225" s="161"/>
      <c r="CU225" s="161"/>
      <c r="CV225" s="161"/>
      <c r="CW225" s="161"/>
      <c r="CX225" s="161"/>
      <c r="CY225" s="161"/>
      <c r="CZ225" s="161"/>
      <c r="DA225" s="161"/>
      <c r="DB225" s="161"/>
      <c r="DC225" s="161"/>
      <c r="DD225" s="161"/>
      <c r="DE225" s="161"/>
      <c r="DF225" s="161"/>
      <c r="DG225" s="161"/>
      <c r="DH225" s="161"/>
      <c r="DI225" s="161"/>
      <c r="DJ225" s="161"/>
      <c r="DK225" s="161"/>
      <c r="DL225" s="161"/>
      <c r="DM225" s="161"/>
      <c r="DN225" s="161"/>
      <c r="DO225" s="161"/>
      <c r="DP225" s="161"/>
      <c r="DQ225" s="161"/>
      <c r="DR225" s="161"/>
      <c r="DS225" s="161"/>
      <c r="DT225" s="161"/>
      <c r="DU225" s="161"/>
      <c r="DV225" s="161"/>
      <c r="DW225" s="161"/>
      <c r="DX225" s="161"/>
      <c r="DY225" s="161"/>
      <c r="DZ225" s="161"/>
      <c r="EA225" s="161"/>
      <c r="EB225" s="174"/>
    </row>
    <row r="226" spans="67:132">
      <c r="BO226" s="161"/>
      <c r="BP226" s="161"/>
      <c r="BQ226" s="161"/>
      <c r="BR226" s="161"/>
      <c r="BS226" s="161"/>
      <c r="BT226" s="161"/>
      <c r="BU226" s="161"/>
      <c r="BV226" s="161"/>
      <c r="BW226" s="161"/>
      <c r="BX226" s="161"/>
      <c r="BY226" s="161"/>
      <c r="BZ226" s="161"/>
      <c r="CA226" s="161"/>
      <c r="CB226" s="161"/>
      <c r="CC226" s="161"/>
      <c r="CD226" s="161"/>
      <c r="CE226" s="161"/>
      <c r="CF226" s="161"/>
      <c r="CG226" s="161"/>
      <c r="CH226" s="161"/>
      <c r="CI226" s="161"/>
      <c r="CJ226" s="161"/>
      <c r="CK226" s="161"/>
      <c r="CL226" s="161"/>
      <c r="CM226" s="161"/>
      <c r="CN226" s="161"/>
      <c r="CO226" s="161"/>
      <c r="CP226" s="161"/>
      <c r="CQ226" s="161"/>
      <c r="CR226" s="161"/>
      <c r="CS226" s="161"/>
      <c r="CT226" s="161"/>
      <c r="CU226" s="161"/>
      <c r="CV226" s="161"/>
      <c r="CW226" s="161"/>
      <c r="CX226" s="161"/>
      <c r="CY226" s="161"/>
      <c r="CZ226" s="161"/>
      <c r="DA226" s="161"/>
      <c r="DB226" s="161"/>
      <c r="DC226" s="161"/>
      <c r="DD226" s="161"/>
      <c r="DE226" s="161"/>
      <c r="DF226" s="161"/>
      <c r="DG226" s="161"/>
      <c r="DH226" s="161"/>
      <c r="DI226" s="161"/>
      <c r="DJ226" s="161"/>
      <c r="DK226" s="161"/>
      <c r="DL226" s="161"/>
      <c r="DM226" s="161"/>
      <c r="DN226" s="161"/>
      <c r="DO226" s="161"/>
      <c r="DP226" s="161"/>
      <c r="DQ226" s="161"/>
      <c r="DR226" s="161"/>
      <c r="DS226" s="161"/>
      <c r="DT226" s="161"/>
      <c r="DU226" s="161"/>
      <c r="DV226" s="161"/>
      <c r="DW226" s="161"/>
      <c r="DX226" s="161"/>
      <c r="DY226" s="161"/>
      <c r="DZ226" s="161"/>
      <c r="EA226" s="161"/>
      <c r="EB226" s="174"/>
    </row>
    <row r="227" spans="67:132">
      <c r="BO227" s="161"/>
      <c r="BP227" s="161"/>
      <c r="BQ227" s="161"/>
      <c r="BR227" s="161"/>
      <c r="BS227" s="161"/>
      <c r="BT227" s="161"/>
      <c r="BU227" s="161"/>
      <c r="BV227" s="161"/>
      <c r="BW227" s="161"/>
      <c r="BX227" s="161"/>
      <c r="BY227" s="161"/>
      <c r="BZ227" s="161"/>
      <c r="CA227" s="161"/>
      <c r="CB227" s="161"/>
      <c r="CC227" s="161"/>
      <c r="CD227" s="161"/>
      <c r="CE227" s="161"/>
      <c r="CF227" s="161"/>
      <c r="CG227" s="161"/>
      <c r="CH227" s="161"/>
      <c r="CI227" s="161"/>
      <c r="CJ227" s="161"/>
      <c r="CK227" s="161"/>
      <c r="CL227" s="161"/>
      <c r="CM227" s="161"/>
      <c r="CN227" s="161"/>
      <c r="CO227" s="161"/>
      <c r="CP227" s="161"/>
      <c r="CQ227" s="161"/>
      <c r="CR227" s="161"/>
      <c r="CS227" s="161"/>
      <c r="CT227" s="161"/>
      <c r="CU227" s="161"/>
      <c r="CV227" s="161"/>
      <c r="CW227" s="161"/>
      <c r="CX227" s="161"/>
      <c r="CY227" s="161"/>
      <c r="CZ227" s="161"/>
      <c r="DA227" s="161"/>
      <c r="DB227" s="161"/>
      <c r="DC227" s="161"/>
      <c r="DD227" s="161"/>
      <c r="DE227" s="161"/>
      <c r="DF227" s="161"/>
      <c r="DG227" s="161"/>
      <c r="DH227" s="161"/>
      <c r="DI227" s="161"/>
      <c r="DJ227" s="161"/>
      <c r="DK227" s="161"/>
      <c r="DL227" s="161"/>
      <c r="DM227" s="161"/>
      <c r="DN227" s="161"/>
      <c r="DO227" s="161"/>
      <c r="DP227" s="161"/>
      <c r="DQ227" s="161"/>
      <c r="DR227" s="161"/>
      <c r="DS227" s="161"/>
      <c r="DT227" s="161"/>
      <c r="DU227" s="161"/>
      <c r="DV227" s="161"/>
      <c r="DW227" s="161"/>
      <c r="DX227" s="161"/>
      <c r="DY227" s="161"/>
      <c r="DZ227" s="161"/>
      <c r="EA227" s="161"/>
      <c r="EB227" s="174"/>
    </row>
    <row r="228" spans="67:132">
      <c r="BO228" s="161"/>
      <c r="BP228" s="161"/>
      <c r="BQ228" s="161"/>
      <c r="BR228" s="161"/>
      <c r="BS228" s="161"/>
      <c r="BT228" s="161"/>
      <c r="BU228" s="161"/>
      <c r="BV228" s="161"/>
      <c r="BW228" s="161"/>
      <c r="BX228" s="161"/>
      <c r="BY228" s="161"/>
      <c r="BZ228" s="161"/>
      <c r="CA228" s="161"/>
      <c r="CB228" s="161"/>
      <c r="CC228" s="161"/>
      <c r="CD228" s="161"/>
      <c r="CE228" s="161"/>
      <c r="CF228" s="161"/>
      <c r="CG228" s="161"/>
      <c r="CH228" s="161"/>
      <c r="CI228" s="161"/>
      <c r="CJ228" s="161"/>
      <c r="CK228" s="161"/>
      <c r="CL228" s="161"/>
      <c r="CM228" s="161"/>
      <c r="CN228" s="161"/>
      <c r="CO228" s="161"/>
      <c r="CP228" s="161"/>
      <c r="CQ228" s="161"/>
      <c r="CR228" s="161"/>
      <c r="CS228" s="161"/>
      <c r="CT228" s="161"/>
      <c r="CU228" s="161"/>
      <c r="CV228" s="161"/>
      <c r="CW228" s="161"/>
      <c r="CX228" s="161"/>
      <c r="CY228" s="161"/>
      <c r="CZ228" s="161"/>
      <c r="DA228" s="161"/>
      <c r="DB228" s="161"/>
      <c r="DC228" s="161"/>
      <c r="DD228" s="161"/>
      <c r="DE228" s="161"/>
      <c r="DF228" s="161"/>
      <c r="DG228" s="161"/>
      <c r="DH228" s="161"/>
      <c r="DI228" s="161"/>
      <c r="DJ228" s="161"/>
      <c r="DK228" s="161"/>
      <c r="DL228" s="161"/>
      <c r="DM228" s="161"/>
      <c r="DN228" s="161"/>
      <c r="DO228" s="161"/>
      <c r="DP228" s="161"/>
      <c r="DQ228" s="161"/>
      <c r="DR228" s="161"/>
      <c r="DS228" s="161"/>
      <c r="DT228" s="161"/>
      <c r="DU228" s="161"/>
      <c r="DV228" s="161"/>
      <c r="DW228" s="161"/>
      <c r="DX228" s="161"/>
      <c r="DY228" s="161"/>
      <c r="DZ228" s="161"/>
      <c r="EA228" s="161"/>
      <c r="EB228" s="174"/>
    </row>
    <row r="229" spans="67:132">
      <c r="BO229" s="161"/>
      <c r="BP229" s="161"/>
      <c r="BQ229" s="161"/>
      <c r="BR229" s="161"/>
      <c r="BS229" s="161"/>
      <c r="BT229" s="161"/>
      <c r="BU229" s="161"/>
      <c r="BV229" s="161"/>
      <c r="BW229" s="161"/>
      <c r="BX229" s="161"/>
      <c r="BY229" s="161"/>
      <c r="BZ229" s="161"/>
      <c r="CA229" s="161"/>
      <c r="CB229" s="161"/>
      <c r="CC229" s="161"/>
      <c r="CD229" s="161"/>
      <c r="CE229" s="161"/>
      <c r="CF229" s="161"/>
      <c r="CG229" s="161"/>
      <c r="CH229" s="161"/>
      <c r="CI229" s="161"/>
      <c r="CJ229" s="161"/>
      <c r="CK229" s="161"/>
      <c r="CL229" s="161"/>
      <c r="CM229" s="161"/>
      <c r="CN229" s="161"/>
      <c r="CO229" s="161"/>
      <c r="CP229" s="161"/>
      <c r="CQ229" s="161"/>
      <c r="CR229" s="161"/>
      <c r="CS229" s="161"/>
      <c r="CT229" s="161"/>
      <c r="CU229" s="161"/>
      <c r="CV229" s="161"/>
      <c r="CW229" s="161"/>
      <c r="CX229" s="161"/>
      <c r="CY229" s="161"/>
      <c r="CZ229" s="161"/>
      <c r="DA229" s="161"/>
      <c r="DB229" s="161"/>
      <c r="DC229" s="161"/>
      <c r="DD229" s="161"/>
      <c r="DE229" s="161"/>
      <c r="DF229" s="161"/>
      <c r="DG229" s="161"/>
      <c r="DH229" s="161"/>
      <c r="DI229" s="161"/>
      <c r="DJ229" s="161"/>
      <c r="DK229" s="161"/>
      <c r="DL229" s="161"/>
      <c r="DM229" s="161"/>
      <c r="DN229" s="161"/>
      <c r="DO229" s="161"/>
      <c r="DP229" s="161"/>
      <c r="DQ229" s="161"/>
      <c r="DR229" s="161"/>
      <c r="DS229" s="161"/>
      <c r="DT229" s="161"/>
      <c r="DU229" s="161"/>
      <c r="DV229" s="161"/>
      <c r="DW229" s="161"/>
      <c r="DX229" s="161"/>
      <c r="DY229" s="161"/>
      <c r="DZ229" s="161"/>
      <c r="EA229" s="161"/>
      <c r="EB229" s="174"/>
    </row>
    <row r="230" spans="67:132">
      <c r="BO230" s="161"/>
      <c r="BP230" s="161"/>
      <c r="BQ230" s="161"/>
      <c r="BR230" s="161"/>
      <c r="BS230" s="161"/>
      <c r="BT230" s="161"/>
      <c r="BU230" s="161"/>
      <c r="BV230" s="161"/>
      <c r="BW230" s="161"/>
      <c r="BX230" s="161"/>
      <c r="BY230" s="161"/>
      <c r="BZ230" s="161"/>
      <c r="CA230" s="161"/>
      <c r="CB230" s="161"/>
      <c r="CC230" s="161"/>
      <c r="CD230" s="161"/>
      <c r="CE230" s="161"/>
      <c r="CF230" s="161"/>
      <c r="CG230" s="161"/>
      <c r="CH230" s="161"/>
      <c r="CI230" s="161"/>
      <c r="CJ230" s="161"/>
      <c r="CK230" s="161"/>
      <c r="CL230" s="161"/>
      <c r="CM230" s="161"/>
      <c r="CN230" s="161"/>
      <c r="CO230" s="161"/>
      <c r="CP230" s="161"/>
      <c r="CQ230" s="161"/>
      <c r="CR230" s="161"/>
      <c r="CS230" s="161"/>
      <c r="CT230" s="161"/>
      <c r="CU230" s="161"/>
      <c r="CV230" s="161"/>
      <c r="CW230" s="161"/>
      <c r="CX230" s="161"/>
      <c r="CY230" s="161"/>
      <c r="CZ230" s="161"/>
      <c r="DA230" s="161"/>
      <c r="DB230" s="161"/>
      <c r="DC230" s="161"/>
      <c r="DD230" s="161"/>
      <c r="DE230" s="161"/>
      <c r="DF230" s="161"/>
      <c r="DG230" s="161"/>
      <c r="DH230" s="161"/>
      <c r="DI230" s="161"/>
      <c r="DJ230" s="161"/>
      <c r="DK230" s="161"/>
      <c r="DL230" s="161"/>
      <c r="DM230" s="161"/>
      <c r="DN230" s="161"/>
      <c r="DO230" s="161"/>
      <c r="DP230" s="161"/>
      <c r="DQ230" s="161"/>
      <c r="DR230" s="161"/>
      <c r="DS230" s="161"/>
      <c r="DT230" s="161"/>
      <c r="DU230" s="161"/>
      <c r="DV230" s="161"/>
      <c r="DW230" s="161"/>
      <c r="DX230" s="161"/>
      <c r="DY230" s="161"/>
      <c r="DZ230" s="161"/>
      <c r="EA230" s="161"/>
      <c r="EB230" s="174"/>
    </row>
    <row r="231" spans="67:132">
      <c r="BO231" s="161"/>
      <c r="BP231" s="161"/>
      <c r="BQ231" s="161"/>
      <c r="BR231" s="161"/>
      <c r="BS231" s="161"/>
      <c r="BT231" s="161"/>
      <c r="BU231" s="161"/>
      <c r="BV231" s="161"/>
      <c r="BW231" s="161"/>
      <c r="BX231" s="161"/>
      <c r="BY231" s="161"/>
      <c r="BZ231" s="161"/>
      <c r="CA231" s="161"/>
      <c r="CB231" s="161"/>
      <c r="CC231" s="161"/>
      <c r="CD231" s="161"/>
      <c r="CE231" s="161"/>
      <c r="CF231" s="161"/>
      <c r="CG231" s="161"/>
      <c r="CH231" s="161"/>
      <c r="CI231" s="161"/>
      <c r="CJ231" s="161"/>
      <c r="CK231" s="161"/>
      <c r="CL231" s="161"/>
      <c r="CM231" s="161"/>
      <c r="CN231" s="161"/>
      <c r="CO231" s="161"/>
      <c r="CP231" s="161"/>
      <c r="CQ231" s="161"/>
      <c r="CR231" s="161"/>
      <c r="CS231" s="161"/>
      <c r="CT231" s="161"/>
      <c r="CU231" s="161"/>
      <c r="CV231" s="161"/>
      <c r="CW231" s="161"/>
      <c r="CX231" s="161"/>
      <c r="CY231" s="161"/>
      <c r="CZ231" s="161"/>
      <c r="DA231" s="161"/>
      <c r="DB231" s="161"/>
      <c r="DC231" s="161"/>
      <c r="DD231" s="161"/>
      <c r="DE231" s="161"/>
      <c r="DF231" s="161"/>
      <c r="DG231" s="161"/>
      <c r="DH231" s="161"/>
      <c r="DI231" s="161"/>
      <c r="DJ231" s="161"/>
      <c r="DK231" s="161"/>
      <c r="DL231" s="161"/>
      <c r="DM231" s="161"/>
      <c r="DN231" s="161"/>
      <c r="DO231" s="161"/>
      <c r="DP231" s="161"/>
      <c r="DQ231" s="161"/>
      <c r="DR231" s="161"/>
      <c r="DS231" s="161"/>
      <c r="DT231" s="161"/>
      <c r="DU231" s="161"/>
      <c r="DV231" s="161"/>
      <c r="DW231" s="161"/>
      <c r="DX231" s="161"/>
      <c r="DY231" s="161"/>
      <c r="DZ231" s="161"/>
      <c r="EA231" s="161"/>
      <c r="EB231" s="174"/>
    </row>
    <row r="232" spans="67:132">
      <c r="BO232" s="161"/>
      <c r="BP232" s="161"/>
      <c r="BQ232" s="161"/>
      <c r="BR232" s="161"/>
      <c r="BS232" s="161"/>
      <c r="BT232" s="161"/>
      <c r="BU232" s="161"/>
      <c r="BV232" s="161"/>
      <c r="BW232" s="161"/>
      <c r="BX232" s="161"/>
      <c r="BY232" s="161"/>
      <c r="BZ232" s="161"/>
      <c r="CA232" s="161"/>
      <c r="CB232" s="161"/>
      <c r="CC232" s="161"/>
      <c r="CD232" s="161"/>
      <c r="CE232" s="161"/>
      <c r="CF232" s="161"/>
      <c r="CG232" s="161"/>
      <c r="CH232" s="161"/>
      <c r="CI232" s="161"/>
      <c r="CJ232" s="161"/>
      <c r="CK232" s="161"/>
      <c r="CL232" s="161"/>
      <c r="CM232" s="161"/>
      <c r="CN232" s="161"/>
      <c r="CO232" s="161"/>
      <c r="CP232" s="161"/>
      <c r="CQ232" s="161"/>
      <c r="CR232" s="161"/>
      <c r="CS232" s="161"/>
      <c r="CT232" s="161"/>
      <c r="CU232" s="161"/>
      <c r="CV232" s="161"/>
      <c r="CW232" s="161"/>
      <c r="CX232" s="161"/>
      <c r="CY232" s="161"/>
      <c r="CZ232" s="161"/>
      <c r="DA232" s="161"/>
      <c r="DB232" s="161"/>
      <c r="DC232" s="161"/>
      <c r="DD232" s="161"/>
      <c r="DE232" s="161"/>
      <c r="DF232" s="161"/>
      <c r="DG232" s="161"/>
      <c r="DH232" s="161"/>
      <c r="DI232" s="161"/>
      <c r="DJ232" s="161"/>
      <c r="DK232" s="161"/>
      <c r="DL232" s="161"/>
      <c r="DM232" s="161"/>
      <c r="DN232" s="161"/>
      <c r="DO232" s="161"/>
      <c r="DP232" s="161"/>
      <c r="DQ232" s="161"/>
      <c r="DR232" s="161"/>
      <c r="DS232" s="161"/>
      <c r="DT232" s="161"/>
      <c r="DU232" s="161"/>
      <c r="DV232" s="161"/>
      <c r="DW232" s="161"/>
      <c r="DX232" s="161"/>
      <c r="DY232" s="161"/>
      <c r="DZ232" s="161"/>
      <c r="EA232" s="161"/>
      <c r="EB232" s="174"/>
    </row>
    <row r="233" spans="67:132">
      <c r="BO233" s="161"/>
      <c r="BP233" s="161"/>
      <c r="BQ233" s="161"/>
      <c r="BR233" s="161"/>
      <c r="BS233" s="161"/>
      <c r="BT233" s="161"/>
      <c r="BU233" s="161"/>
      <c r="BV233" s="161"/>
      <c r="BW233" s="161"/>
      <c r="BX233" s="161"/>
      <c r="BY233" s="161"/>
      <c r="BZ233" s="161"/>
      <c r="CA233" s="161"/>
      <c r="CB233" s="161"/>
      <c r="CC233" s="161"/>
      <c r="CD233" s="161"/>
      <c r="CE233" s="161"/>
      <c r="CF233" s="161"/>
      <c r="CG233" s="161"/>
      <c r="CH233" s="161"/>
      <c r="CI233" s="161"/>
      <c r="CJ233" s="161"/>
      <c r="CK233" s="161"/>
      <c r="CL233" s="161"/>
      <c r="CM233" s="161"/>
      <c r="CN233" s="161"/>
      <c r="CO233" s="161"/>
      <c r="CP233" s="161"/>
      <c r="CQ233" s="161"/>
      <c r="CR233" s="161"/>
      <c r="CS233" s="161"/>
      <c r="CT233" s="161"/>
      <c r="CU233" s="161"/>
      <c r="CV233" s="161"/>
      <c r="CW233" s="161"/>
      <c r="CX233" s="161"/>
      <c r="CY233" s="161"/>
      <c r="CZ233" s="161"/>
      <c r="DA233" s="161"/>
      <c r="DB233" s="161"/>
      <c r="DC233" s="161"/>
      <c r="DD233" s="161"/>
      <c r="DE233" s="161"/>
      <c r="DF233" s="161"/>
      <c r="DG233" s="161"/>
      <c r="DH233" s="161"/>
      <c r="DI233" s="161"/>
      <c r="DJ233" s="161"/>
      <c r="DK233" s="161"/>
      <c r="DL233" s="161"/>
      <c r="DM233" s="161"/>
      <c r="DN233" s="161"/>
      <c r="DO233" s="161"/>
      <c r="DP233" s="161"/>
      <c r="DQ233" s="161"/>
      <c r="DR233" s="161"/>
      <c r="DS233" s="161"/>
      <c r="DT233" s="161"/>
      <c r="DU233" s="161"/>
      <c r="DV233" s="161"/>
      <c r="DW233" s="161"/>
      <c r="DX233" s="161"/>
      <c r="DY233" s="161"/>
      <c r="DZ233" s="161"/>
      <c r="EA233" s="161"/>
      <c r="EB233" s="174"/>
    </row>
    <row r="234" spans="67:132">
      <c r="BO234" s="161"/>
      <c r="BP234" s="161"/>
      <c r="BQ234" s="161"/>
      <c r="BR234" s="161"/>
      <c r="BS234" s="161"/>
      <c r="BT234" s="161"/>
      <c r="BU234" s="161"/>
      <c r="BV234" s="161"/>
      <c r="BW234" s="161"/>
      <c r="BX234" s="161"/>
      <c r="BY234" s="161"/>
      <c r="BZ234" s="161"/>
      <c r="CA234" s="161"/>
      <c r="CB234" s="161"/>
      <c r="CC234" s="161"/>
      <c r="CD234" s="161"/>
      <c r="CE234" s="161"/>
      <c r="CF234" s="161"/>
      <c r="CG234" s="161"/>
      <c r="CH234" s="161"/>
      <c r="CI234" s="161"/>
      <c r="CJ234" s="161"/>
      <c r="CK234" s="161"/>
      <c r="CL234" s="161"/>
      <c r="CM234" s="161"/>
      <c r="CN234" s="161"/>
      <c r="CO234" s="161"/>
      <c r="CP234" s="161"/>
      <c r="CQ234" s="161"/>
      <c r="CR234" s="161"/>
      <c r="CS234" s="161"/>
      <c r="CT234" s="161"/>
      <c r="CU234" s="161"/>
      <c r="CV234" s="161"/>
      <c r="CW234" s="161"/>
      <c r="CX234" s="161"/>
      <c r="CY234" s="161"/>
      <c r="CZ234" s="161"/>
      <c r="DA234" s="161"/>
      <c r="DB234" s="161"/>
      <c r="DC234" s="161"/>
      <c r="DD234" s="161"/>
      <c r="DE234" s="161"/>
      <c r="DF234" s="161"/>
      <c r="DG234" s="161"/>
      <c r="DH234" s="161"/>
      <c r="DI234" s="161"/>
      <c r="DJ234" s="161"/>
      <c r="DK234" s="161"/>
      <c r="DL234" s="161"/>
      <c r="DM234" s="161"/>
      <c r="DN234" s="161"/>
      <c r="DO234" s="161"/>
      <c r="DP234" s="161"/>
      <c r="DQ234" s="161"/>
      <c r="DR234" s="161"/>
      <c r="DS234" s="161"/>
      <c r="DT234" s="161"/>
      <c r="DU234" s="161"/>
      <c r="DV234" s="161"/>
      <c r="DW234" s="161"/>
      <c r="DX234" s="161"/>
      <c r="DY234" s="161"/>
      <c r="DZ234" s="161"/>
      <c r="EA234" s="161"/>
      <c r="EB234" s="174"/>
    </row>
    <row r="235" spans="67:132">
      <c r="BO235" s="161"/>
      <c r="BP235" s="161"/>
      <c r="BQ235" s="161"/>
      <c r="BR235" s="161"/>
      <c r="BS235" s="161"/>
      <c r="BT235" s="161"/>
      <c r="BU235" s="161"/>
      <c r="BV235" s="161"/>
      <c r="BW235" s="161"/>
      <c r="BX235" s="161"/>
      <c r="BY235" s="161"/>
      <c r="BZ235" s="161"/>
      <c r="CA235" s="161"/>
      <c r="CB235" s="161"/>
      <c r="CC235" s="161"/>
      <c r="CD235" s="161"/>
      <c r="CE235" s="161"/>
      <c r="CF235" s="161"/>
      <c r="CG235" s="161"/>
      <c r="CH235" s="161"/>
      <c r="CI235" s="161"/>
      <c r="CJ235" s="161"/>
      <c r="CK235" s="161"/>
      <c r="CL235" s="161"/>
      <c r="CM235" s="161"/>
      <c r="CN235" s="161"/>
      <c r="CO235" s="161"/>
      <c r="CP235" s="161"/>
      <c r="CQ235" s="161"/>
      <c r="CR235" s="161"/>
      <c r="CS235" s="161"/>
      <c r="CT235" s="161"/>
      <c r="CU235" s="161"/>
      <c r="CV235" s="161"/>
      <c r="CW235" s="161"/>
      <c r="CX235" s="161"/>
      <c r="CY235" s="161"/>
      <c r="CZ235" s="161"/>
      <c r="DA235" s="161"/>
      <c r="DB235" s="161"/>
      <c r="DC235" s="161"/>
      <c r="DD235" s="161"/>
      <c r="DE235" s="161"/>
      <c r="DF235" s="161"/>
      <c r="DG235" s="161"/>
      <c r="DH235" s="161"/>
      <c r="DI235" s="161"/>
      <c r="DJ235" s="161"/>
      <c r="DK235" s="161"/>
      <c r="DL235" s="161"/>
      <c r="DM235" s="161"/>
      <c r="DN235" s="161"/>
      <c r="DO235" s="161"/>
      <c r="DP235" s="161"/>
      <c r="DQ235" s="161"/>
      <c r="DR235" s="161"/>
      <c r="DS235" s="161"/>
      <c r="DT235" s="161"/>
      <c r="DU235" s="161"/>
      <c r="DV235" s="161"/>
      <c r="DW235" s="161"/>
      <c r="DX235" s="161"/>
      <c r="DY235" s="161"/>
      <c r="DZ235" s="161"/>
      <c r="EA235" s="161"/>
      <c r="EB235" s="174"/>
    </row>
    <row r="236" spans="67:132">
      <c r="BO236" s="161"/>
      <c r="BP236" s="161"/>
      <c r="BQ236" s="161"/>
      <c r="BR236" s="161"/>
      <c r="BS236" s="161"/>
      <c r="BT236" s="161"/>
      <c r="BU236" s="161"/>
      <c r="BV236" s="161"/>
      <c r="BW236" s="161"/>
      <c r="BX236" s="161"/>
      <c r="BY236" s="161"/>
      <c r="BZ236" s="161"/>
      <c r="CA236" s="161"/>
      <c r="CB236" s="161"/>
      <c r="CC236" s="161"/>
      <c r="CD236" s="161"/>
      <c r="CE236" s="161"/>
      <c r="CF236" s="161"/>
      <c r="CG236" s="161"/>
      <c r="CH236" s="161"/>
      <c r="CI236" s="161"/>
      <c r="CJ236" s="161"/>
      <c r="CK236" s="161"/>
      <c r="CL236" s="161"/>
      <c r="CM236" s="161"/>
      <c r="CN236" s="161"/>
      <c r="CO236" s="161"/>
      <c r="CP236" s="161"/>
      <c r="CQ236" s="161"/>
      <c r="CR236" s="161"/>
      <c r="CS236" s="161"/>
      <c r="CT236" s="161"/>
      <c r="CU236" s="161"/>
      <c r="CV236" s="161"/>
      <c r="CW236" s="161"/>
      <c r="CX236" s="161"/>
      <c r="CY236" s="161"/>
      <c r="CZ236" s="161"/>
      <c r="DA236" s="161"/>
      <c r="DB236" s="161"/>
      <c r="DC236" s="161"/>
      <c r="DD236" s="161"/>
      <c r="DE236" s="161"/>
      <c r="DF236" s="161"/>
      <c r="DG236" s="161"/>
      <c r="DH236" s="161"/>
      <c r="DI236" s="161"/>
      <c r="DJ236" s="161"/>
      <c r="DK236" s="161"/>
      <c r="DL236" s="161"/>
      <c r="DM236" s="161"/>
      <c r="DN236" s="161"/>
      <c r="DO236" s="161"/>
      <c r="DP236" s="161"/>
      <c r="DQ236" s="161"/>
      <c r="DR236" s="161"/>
      <c r="DS236" s="161"/>
      <c r="DT236" s="161"/>
      <c r="DU236" s="161"/>
      <c r="DV236" s="161"/>
      <c r="DW236" s="161"/>
      <c r="DX236" s="161"/>
      <c r="DY236" s="161"/>
      <c r="DZ236" s="161"/>
      <c r="EA236" s="161"/>
      <c r="EB236" s="174"/>
    </row>
    <row r="237" spans="67:132">
      <c r="BO237" s="161"/>
      <c r="BP237" s="161"/>
      <c r="BQ237" s="161"/>
      <c r="BR237" s="161"/>
      <c r="BS237" s="161"/>
      <c r="BT237" s="161"/>
      <c r="BU237" s="161"/>
      <c r="BV237" s="161"/>
      <c r="BW237" s="161"/>
      <c r="BX237" s="161"/>
      <c r="BY237" s="161"/>
      <c r="BZ237" s="161"/>
      <c r="CA237" s="161"/>
      <c r="CB237" s="161"/>
      <c r="CC237" s="161"/>
      <c r="CD237" s="161"/>
      <c r="CE237" s="161"/>
      <c r="CF237" s="161"/>
      <c r="CG237" s="161"/>
      <c r="CH237" s="161"/>
      <c r="CI237" s="161"/>
      <c r="CJ237" s="161"/>
      <c r="CK237" s="161"/>
      <c r="CL237" s="161"/>
      <c r="CM237" s="161"/>
      <c r="CN237" s="161"/>
      <c r="CO237" s="161"/>
      <c r="CP237" s="161"/>
      <c r="CQ237" s="161"/>
      <c r="CR237" s="161"/>
      <c r="CS237" s="161"/>
      <c r="CT237" s="161"/>
      <c r="CU237" s="161"/>
      <c r="CV237" s="161"/>
      <c r="CW237" s="161"/>
      <c r="CX237" s="161"/>
      <c r="CY237" s="161"/>
      <c r="CZ237" s="161"/>
      <c r="DA237" s="161"/>
      <c r="DB237" s="161"/>
      <c r="DC237" s="161"/>
      <c r="DD237" s="161"/>
      <c r="DE237" s="161"/>
      <c r="DF237" s="161"/>
      <c r="DG237" s="161"/>
      <c r="DH237" s="161"/>
      <c r="DI237" s="161"/>
      <c r="DJ237" s="161"/>
      <c r="DK237" s="161"/>
      <c r="DL237" s="161"/>
      <c r="DM237" s="161"/>
      <c r="DN237" s="161"/>
      <c r="DO237" s="161"/>
      <c r="DP237" s="161"/>
      <c r="DQ237" s="161"/>
      <c r="DR237" s="161"/>
      <c r="DS237" s="161"/>
      <c r="DT237" s="161"/>
      <c r="DU237" s="161"/>
      <c r="DV237" s="161"/>
      <c r="DW237" s="161"/>
      <c r="DX237" s="161"/>
      <c r="DY237" s="161"/>
      <c r="DZ237" s="161"/>
      <c r="EA237" s="161"/>
      <c r="EB237" s="174"/>
    </row>
    <row r="238" spans="67:132">
      <c r="BO238" s="161"/>
      <c r="BP238" s="161"/>
      <c r="BQ238" s="161"/>
      <c r="BR238" s="161"/>
      <c r="BS238" s="161"/>
      <c r="BT238" s="161"/>
      <c r="BU238" s="161"/>
      <c r="BV238" s="161"/>
      <c r="BW238" s="161"/>
      <c r="BX238" s="161"/>
      <c r="BY238" s="161"/>
      <c r="BZ238" s="161"/>
      <c r="CA238" s="161"/>
      <c r="CB238" s="161"/>
      <c r="CC238" s="161"/>
      <c r="CD238" s="161"/>
      <c r="CE238" s="161"/>
      <c r="CF238" s="161"/>
      <c r="CG238" s="161"/>
      <c r="CH238" s="161"/>
      <c r="CI238" s="161"/>
      <c r="CJ238" s="161"/>
      <c r="CK238" s="161"/>
      <c r="CL238" s="161"/>
      <c r="CM238" s="161"/>
      <c r="CN238" s="161"/>
      <c r="CO238" s="161"/>
      <c r="CP238" s="161"/>
      <c r="CQ238" s="161"/>
      <c r="CR238" s="161"/>
      <c r="CS238" s="161"/>
      <c r="CT238" s="161"/>
      <c r="CU238" s="161"/>
      <c r="CV238" s="161"/>
      <c r="CW238" s="161"/>
      <c r="CX238" s="161"/>
      <c r="CY238" s="161"/>
      <c r="CZ238" s="161"/>
      <c r="DA238" s="161"/>
      <c r="DB238" s="161"/>
      <c r="DC238" s="161"/>
      <c r="DD238" s="161"/>
      <c r="DE238" s="161"/>
      <c r="DF238" s="161"/>
      <c r="DG238" s="161"/>
      <c r="DH238" s="161"/>
      <c r="DI238" s="161"/>
      <c r="DJ238" s="161"/>
      <c r="DK238" s="161"/>
      <c r="DL238" s="161"/>
      <c r="DM238" s="161"/>
      <c r="DN238" s="161"/>
      <c r="DO238" s="161"/>
      <c r="DP238" s="161"/>
      <c r="DQ238" s="161"/>
      <c r="DR238" s="161"/>
      <c r="DS238" s="161"/>
      <c r="DT238" s="161"/>
      <c r="DU238" s="161"/>
      <c r="DV238" s="161"/>
      <c r="DW238" s="161"/>
      <c r="DX238" s="161"/>
      <c r="DY238" s="161"/>
      <c r="DZ238" s="161"/>
      <c r="EA238" s="161"/>
      <c r="EB238" s="174"/>
    </row>
    <row r="239" spans="67:132">
      <c r="BO239" s="161"/>
      <c r="BP239" s="161"/>
      <c r="BQ239" s="161"/>
      <c r="BR239" s="161"/>
      <c r="BS239" s="161"/>
      <c r="BT239" s="161"/>
      <c r="BU239" s="161"/>
      <c r="BV239" s="161"/>
      <c r="BW239" s="161"/>
      <c r="BX239" s="161"/>
      <c r="BY239" s="161"/>
      <c r="BZ239" s="161"/>
      <c r="CA239" s="161"/>
      <c r="CB239" s="161"/>
      <c r="CC239" s="161"/>
      <c r="CD239" s="161"/>
      <c r="CE239" s="161"/>
      <c r="CF239" s="161"/>
      <c r="CG239" s="161"/>
      <c r="CH239" s="161"/>
      <c r="CI239" s="161"/>
      <c r="CJ239" s="161"/>
      <c r="CK239" s="161"/>
      <c r="CL239" s="161"/>
      <c r="CM239" s="161"/>
      <c r="CN239" s="161"/>
      <c r="CO239" s="161"/>
      <c r="CP239" s="161"/>
      <c r="CQ239" s="161"/>
      <c r="CR239" s="161"/>
      <c r="CS239" s="161"/>
      <c r="CT239" s="161"/>
      <c r="CU239" s="161"/>
      <c r="CV239" s="161"/>
      <c r="CW239" s="161"/>
      <c r="CX239" s="161"/>
      <c r="CY239" s="161"/>
      <c r="CZ239" s="161"/>
      <c r="DA239" s="161"/>
      <c r="DB239" s="161"/>
      <c r="DC239" s="161"/>
      <c r="DD239" s="161"/>
      <c r="DE239" s="161"/>
      <c r="DF239" s="161"/>
      <c r="DG239" s="161"/>
      <c r="DH239" s="161"/>
      <c r="DI239" s="161"/>
      <c r="DJ239" s="161"/>
      <c r="DK239" s="161"/>
      <c r="DL239" s="161"/>
      <c r="DM239" s="161"/>
      <c r="DN239" s="161"/>
      <c r="DO239" s="161"/>
      <c r="DP239" s="161"/>
      <c r="DQ239" s="161"/>
      <c r="DR239" s="161"/>
      <c r="DS239" s="161"/>
      <c r="DT239" s="161"/>
      <c r="DU239" s="161"/>
      <c r="DV239" s="161"/>
      <c r="DW239" s="161"/>
      <c r="DX239" s="161"/>
      <c r="DY239" s="161"/>
      <c r="DZ239" s="161"/>
      <c r="EA239" s="161"/>
      <c r="EB239" s="174"/>
    </row>
    <row r="240" spans="67:132">
      <c r="BO240" s="161"/>
      <c r="BP240" s="161"/>
      <c r="BQ240" s="161"/>
      <c r="BR240" s="161"/>
      <c r="BS240" s="161"/>
      <c r="BT240" s="161"/>
      <c r="BU240" s="161"/>
      <c r="BV240" s="161"/>
      <c r="BW240" s="161"/>
      <c r="BX240" s="161"/>
      <c r="BY240" s="161"/>
      <c r="BZ240" s="161"/>
      <c r="CA240" s="161"/>
      <c r="CB240" s="161"/>
      <c r="CC240" s="161"/>
      <c r="CD240" s="161"/>
      <c r="CE240" s="161"/>
      <c r="CF240" s="161"/>
      <c r="CG240" s="161"/>
      <c r="CH240" s="161"/>
      <c r="CI240" s="161"/>
      <c r="CJ240" s="161"/>
      <c r="CK240" s="161"/>
      <c r="CL240" s="161"/>
      <c r="CM240" s="161"/>
      <c r="CN240" s="161"/>
      <c r="CO240" s="161"/>
      <c r="CP240" s="161"/>
      <c r="CQ240" s="161"/>
      <c r="CR240" s="161"/>
      <c r="CS240" s="161"/>
      <c r="CT240" s="161"/>
      <c r="CU240" s="161"/>
      <c r="CV240" s="161"/>
      <c r="CW240" s="161"/>
      <c r="CX240" s="161"/>
      <c r="CY240" s="161"/>
      <c r="CZ240" s="161"/>
      <c r="DA240" s="161"/>
      <c r="DB240" s="161"/>
      <c r="DC240" s="161"/>
      <c r="DD240" s="161"/>
      <c r="DE240" s="161"/>
      <c r="DF240" s="161"/>
      <c r="DG240" s="161"/>
      <c r="DH240" s="161"/>
      <c r="DI240" s="161"/>
      <c r="DJ240" s="161"/>
      <c r="DK240" s="161"/>
      <c r="DL240" s="161"/>
      <c r="DM240" s="161"/>
      <c r="DN240" s="161"/>
      <c r="DO240" s="161"/>
      <c r="DP240" s="161"/>
      <c r="DQ240" s="161"/>
      <c r="DR240" s="161"/>
      <c r="DS240" s="161"/>
      <c r="DT240" s="161"/>
      <c r="DU240" s="161"/>
      <c r="DV240" s="161"/>
      <c r="DW240" s="161"/>
      <c r="DX240" s="161"/>
      <c r="DY240" s="161"/>
      <c r="DZ240" s="161"/>
      <c r="EA240" s="161"/>
      <c r="EB240" s="174"/>
    </row>
    <row r="241" spans="5:132">
      <c r="BO241" s="161"/>
      <c r="BP241" s="161"/>
      <c r="BQ241" s="161"/>
      <c r="BR241" s="161"/>
      <c r="BS241" s="161"/>
      <c r="BT241" s="161"/>
      <c r="BU241" s="161"/>
      <c r="BV241" s="161"/>
      <c r="BW241" s="161"/>
      <c r="BX241" s="161"/>
      <c r="BY241" s="161"/>
      <c r="BZ241" s="161"/>
      <c r="CA241" s="161"/>
      <c r="CB241" s="161"/>
      <c r="CC241" s="161"/>
      <c r="CD241" s="161"/>
      <c r="CE241" s="161"/>
      <c r="CF241" s="161"/>
      <c r="CG241" s="161"/>
      <c r="CH241" s="161"/>
      <c r="CI241" s="161"/>
      <c r="CJ241" s="161"/>
      <c r="CK241" s="161"/>
      <c r="CL241" s="161"/>
      <c r="CM241" s="161"/>
      <c r="CN241" s="161"/>
      <c r="CO241" s="161"/>
      <c r="CP241" s="161"/>
      <c r="CQ241" s="161"/>
      <c r="CR241" s="161"/>
      <c r="CS241" s="161"/>
      <c r="CT241" s="161"/>
      <c r="CU241" s="161"/>
      <c r="CV241" s="161"/>
      <c r="CW241" s="161"/>
      <c r="CX241" s="161"/>
      <c r="CY241" s="161"/>
      <c r="CZ241" s="161"/>
      <c r="DA241" s="161"/>
      <c r="DB241" s="161"/>
      <c r="DC241" s="161"/>
      <c r="DD241" s="161"/>
      <c r="DE241" s="161"/>
      <c r="DF241" s="161"/>
      <c r="DG241" s="161"/>
      <c r="DH241" s="161"/>
      <c r="DI241" s="161"/>
      <c r="DJ241" s="161"/>
      <c r="DK241" s="161"/>
      <c r="DL241" s="161"/>
      <c r="DM241" s="161"/>
      <c r="DN241" s="161"/>
      <c r="DO241" s="161"/>
      <c r="DP241" s="161"/>
      <c r="DQ241" s="161"/>
      <c r="DR241" s="161"/>
      <c r="DS241" s="161"/>
      <c r="DT241" s="161"/>
      <c r="DU241" s="161"/>
      <c r="DV241" s="161"/>
      <c r="DW241" s="161"/>
      <c r="DX241" s="161"/>
      <c r="DY241" s="161"/>
      <c r="DZ241" s="161"/>
      <c r="EA241" s="161"/>
      <c r="EB241" s="174"/>
    </row>
    <row r="242" spans="5:132">
      <c r="BO242" s="161"/>
      <c r="BP242" s="161"/>
      <c r="BQ242" s="161"/>
      <c r="BR242" s="161"/>
      <c r="BS242" s="161"/>
      <c r="BT242" s="161"/>
      <c r="BU242" s="161"/>
      <c r="BV242" s="161"/>
      <c r="BW242" s="161"/>
      <c r="BX242" s="161"/>
      <c r="BY242" s="161"/>
      <c r="BZ242" s="161"/>
      <c r="CA242" s="161"/>
      <c r="CB242" s="161"/>
      <c r="CC242" s="161"/>
      <c r="CD242" s="161"/>
      <c r="CE242" s="161"/>
      <c r="CF242" s="161"/>
      <c r="CG242" s="161"/>
      <c r="CH242" s="161"/>
      <c r="CI242" s="161"/>
      <c r="CJ242" s="161"/>
      <c r="CK242" s="161"/>
      <c r="CL242" s="161"/>
      <c r="CM242" s="161"/>
      <c r="CN242" s="161"/>
      <c r="CO242" s="161"/>
      <c r="CP242" s="161"/>
      <c r="CQ242" s="161"/>
      <c r="CR242" s="161"/>
      <c r="CS242" s="161"/>
      <c r="CT242" s="161"/>
      <c r="CU242" s="161"/>
      <c r="CV242" s="161"/>
      <c r="CW242" s="161"/>
      <c r="CX242" s="161"/>
      <c r="CY242" s="161"/>
      <c r="CZ242" s="161"/>
      <c r="DA242" s="161"/>
      <c r="DB242" s="161"/>
      <c r="DC242" s="161"/>
      <c r="DD242" s="161"/>
      <c r="DE242" s="161"/>
      <c r="DF242" s="161"/>
      <c r="DG242" s="161"/>
      <c r="DH242" s="161"/>
      <c r="DI242" s="161"/>
      <c r="DJ242" s="161"/>
      <c r="DK242" s="161"/>
      <c r="DL242" s="161"/>
      <c r="DM242" s="161"/>
      <c r="DN242" s="161"/>
      <c r="DO242" s="161"/>
      <c r="DP242" s="161"/>
      <c r="DQ242" s="161"/>
      <c r="DR242" s="161"/>
      <c r="DS242" s="161"/>
      <c r="DT242" s="161"/>
      <c r="DU242" s="161"/>
      <c r="DV242" s="161"/>
      <c r="DW242" s="161"/>
      <c r="DX242" s="161"/>
      <c r="DY242" s="161"/>
      <c r="DZ242" s="161"/>
      <c r="EA242" s="161"/>
      <c r="EB242" s="174"/>
    </row>
    <row r="243" spans="5:132">
      <c r="BO243" s="161"/>
      <c r="BP243" s="161"/>
      <c r="BQ243" s="161"/>
      <c r="BR243" s="161"/>
      <c r="BS243" s="161"/>
      <c r="BT243" s="161"/>
      <c r="BU243" s="161"/>
      <c r="BV243" s="161"/>
      <c r="BW243" s="161"/>
      <c r="BX243" s="161"/>
      <c r="BY243" s="161"/>
      <c r="BZ243" s="161"/>
      <c r="CA243" s="161"/>
      <c r="CB243" s="161"/>
      <c r="CC243" s="161"/>
      <c r="CD243" s="161"/>
      <c r="CE243" s="161"/>
      <c r="CF243" s="161"/>
      <c r="CG243" s="161"/>
      <c r="CH243" s="161"/>
      <c r="CI243" s="161"/>
      <c r="CJ243" s="161"/>
      <c r="CK243" s="161"/>
      <c r="CL243" s="161"/>
      <c r="CM243" s="161"/>
      <c r="CN243" s="161"/>
      <c r="CO243" s="161"/>
      <c r="CP243" s="161"/>
      <c r="CQ243" s="161"/>
      <c r="CR243" s="161"/>
      <c r="CS243" s="161"/>
      <c r="CT243" s="161"/>
      <c r="CU243" s="161"/>
      <c r="CV243" s="161"/>
      <c r="CW243" s="161"/>
      <c r="CX243" s="161"/>
      <c r="CY243" s="161"/>
      <c r="CZ243" s="161"/>
      <c r="DA243" s="161"/>
      <c r="DB243" s="161"/>
      <c r="DC243" s="161"/>
      <c r="DD243" s="161"/>
      <c r="DE243" s="161"/>
      <c r="DF243" s="161"/>
      <c r="DG243" s="161"/>
      <c r="DH243" s="161"/>
      <c r="DI243" s="161"/>
      <c r="DJ243" s="161"/>
      <c r="DK243" s="161"/>
      <c r="DL243" s="161"/>
      <c r="DM243" s="161"/>
      <c r="DN243" s="161"/>
      <c r="DO243" s="161"/>
      <c r="DP243" s="161"/>
      <c r="DQ243" s="161"/>
      <c r="DR243" s="161"/>
      <c r="DS243" s="161"/>
      <c r="DT243" s="161"/>
      <c r="DU243" s="161"/>
      <c r="DV243" s="161"/>
      <c r="DW243" s="161"/>
      <c r="DX243" s="161"/>
      <c r="DY243" s="161"/>
      <c r="DZ243" s="161"/>
      <c r="EA243" s="161"/>
      <c r="EB243" s="174"/>
    </row>
    <row r="244" spans="5:132">
      <c r="BO244" s="161"/>
      <c r="BP244" s="161"/>
      <c r="BQ244" s="161"/>
      <c r="BR244" s="161"/>
      <c r="BS244" s="161"/>
      <c r="BT244" s="161"/>
      <c r="BU244" s="161"/>
      <c r="BV244" s="161"/>
      <c r="BW244" s="161"/>
      <c r="BX244" s="161"/>
      <c r="BY244" s="161"/>
      <c r="BZ244" s="161"/>
      <c r="CA244" s="161"/>
      <c r="CB244" s="161"/>
      <c r="CC244" s="161"/>
      <c r="CD244" s="161"/>
      <c r="CE244" s="161"/>
      <c r="CF244" s="161"/>
      <c r="CG244" s="161"/>
      <c r="CH244" s="161"/>
      <c r="CI244" s="161"/>
      <c r="CJ244" s="161"/>
      <c r="CK244" s="161"/>
      <c r="CL244" s="161"/>
      <c r="CM244" s="161"/>
      <c r="CN244" s="161"/>
      <c r="CO244" s="161"/>
      <c r="CP244" s="161"/>
      <c r="CQ244" s="161"/>
      <c r="CR244" s="161"/>
      <c r="CS244" s="161"/>
      <c r="CT244" s="161"/>
      <c r="CU244" s="161"/>
      <c r="CV244" s="161"/>
      <c r="CW244" s="161"/>
      <c r="CX244" s="161"/>
      <c r="CY244" s="161"/>
      <c r="CZ244" s="161"/>
      <c r="DA244" s="161"/>
      <c r="DB244" s="161"/>
      <c r="DC244" s="161"/>
      <c r="DD244" s="161"/>
      <c r="DE244" s="161"/>
      <c r="DF244" s="161"/>
      <c r="DG244" s="161"/>
      <c r="DH244" s="161"/>
      <c r="DI244" s="161"/>
      <c r="DJ244" s="161"/>
      <c r="DK244" s="161"/>
      <c r="DL244" s="161"/>
      <c r="DM244" s="161"/>
      <c r="DN244" s="161"/>
      <c r="DO244" s="161"/>
      <c r="DP244" s="161"/>
      <c r="DQ244" s="161"/>
      <c r="DR244" s="161"/>
      <c r="DS244" s="161"/>
      <c r="DT244" s="161"/>
      <c r="DU244" s="161"/>
      <c r="DV244" s="161"/>
      <c r="DW244" s="161"/>
      <c r="DX244" s="161"/>
      <c r="DY244" s="161"/>
      <c r="DZ244" s="161"/>
      <c r="EA244" s="161"/>
      <c r="EB244" s="174"/>
    </row>
    <row r="245" spans="5:132">
      <c r="BO245" s="161"/>
      <c r="BP245" s="161"/>
      <c r="BQ245" s="161"/>
      <c r="BR245" s="161"/>
      <c r="BS245" s="161"/>
      <c r="BT245" s="161"/>
      <c r="BU245" s="161"/>
      <c r="BV245" s="161"/>
      <c r="BW245" s="161"/>
      <c r="BX245" s="161"/>
      <c r="BY245" s="161"/>
      <c r="BZ245" s="161"/>
      <c r="CA245" s="161"/>
      <c r="CB245" s="161"/>
      <c r="CC245" s="161"/>
      <c r="CD245" s="161"/>
      <c r="CE245" s="161"/>
      <c r="CF245" s="161"/>
      <c r="CG245" s="161"/>
      <c r="CH245" s="161"/>
      <c r="CI245" s="161"/>
      <c r="CJ245" s="161"/>
      <c r="CK245" s="161"/>
      <c r="CL245" s="161"/>
      <c r="CM245" s="161"/>
      <c r="CN245" s="161"/>
      <c r="CO245" s="161"/>
      <c r="CP245" s="161"/>
      <c r="CQ245" s="161"/>
      <c r="CR245" s="161"/>
      <c r="CS245" s="161"/>
      <c r="CT245" s="161"/>
      <c r="CU245" s="161"/>
      <c r="CV245" s="161"/>
      <c r="CW245" s="161"/>
      <c r="CX245" s="161"/>
      <c r="CY245" s="161"/>
      <c r="CZ245" s="161"/>
      <c r="DA245" s="161"/>
      <c r="DB245" s="161"/>
      <c r="DC245" s="161"/>
      <c r="DD245" s="161"/>
      <c r="DE245" s="161"/>
      <c r="DF245" s="161"/>
      <c r="DG245" s="161"/>
      <c r="DH245" s="161"/>
      <c r="DI245" s="161"/>
      <c r="DJ245" s="161"/>
      <c r="DK245" s="161"/>
      <c r="DL245" s="161"/>
      <c r="DM245" s="161"/>
      <c r="DN245" s="161"/>
      <c r="DO245" s="161"/>
      <c r="DP245" s="161"/>
      <c r="DQ245" s="161"/>
      <c r="DR245" s="161"/>
      <c r="DS245" s="161"/>
      <c r="DT245" s="161"/>
      <c r="DU245" s="161"/>
      <c r="DV245" s="161"/>
      <c r="DW245" s="161"/>
      <c r="DX245" s="161"/>
      <c r="DY245" s="161"/>
      <c r="DZ245" s="161"/>
      <c r="EA245" s="161"/>
      <c r="EB245" s="174"/>
    </row>
    <row r="246" spans="5:132">
      <c r="BO246" s="161"/>
      <c r="BP246" s="161"/>
      <c r="BQ246" s="161"/>
      <c r="BR246" s="161"/>
      <c r="BS246" s="161"/>
      <c r="BT246" s="161"/>
      <c r="BU246" s="161"/>
      <c r="BV246" s="161"/>
      <c r="BW246" s="161"/>
      <c r="BX246" s="161"/>
      <c r="BY246" s="161"/>
      <c r="BZ246" s="161"/>
      <c r="CA246" s="161"/>
      <c r="CB246" s="161"/>
      <c r="CC246" s="161"/>
      <c r="CD246" s="161"/>
      <c r="CE246" s="161"/>
      <c r="CF246" s="161"/>
      <c r="CG246" s="161"/>
      <c r="CH246" s="161"/>
      <c r="CI246" s="161"/>
      <c r="CJ246" s="161"/>
      <c r="CK246" s="161"/>
      <c r="CL246" s="161"/>
      <c r="CM246" s="161"/>
      <c r="CN246" s="161"/>
      <c r="CO246" s="161"/>
      <c r="CP246" s="161"/>
      <c r="CQ246" s="161"/>
      <c r="CR246" s="161"/>
      <c r="CS246" s="161"/>
      <c r="CT246" s="161"/>
      <c r="CU246" s="161"/>
      <c r="CV246" s="161"/>
      <c r="CW246" s="161"/>
      <c r="CX246" s="161"/>
      <c r="CY246" s="161"/>
      <c r="CZ246" s="161"/>
      <c r="DA246" s="161"/>
      <c r="DB246" s="161"/>
      <c r="DC246" s="161"/>
      <c r="DD246" s="161"/>
      <c r="DE246" s="161"/>
      <c r="DF246" s="161"/>
      <c r="DG246" s="161"/>
      <c r="DH246" s="161"/>
      <c r="DI246" s="161"/>
      <c r="DJ246" s="161"/>
      <c r="DK246" s="161"/>
      <c r="DL246" s="161"/>
      <c r="DM246" s="161"/>
      <c r="DN246" s="161"/>
      <c r="DO246" s="161"/>
      <c r="DP246" s="161"/>
      <c r="DQ246" s="161"/>
      <c r="DR246" s="161"/>
      <c r="DS246" s="161"/>
      <c r="DT246" s="161"/>
      <c r="DU246" s="161"/>
      <c r="DV246" s="161"/>
      <c r="DW246" s="161"/>
      <c r="DX246" s="161"/>
      <c r="DY246" s="161"/>
      <c r="DZ246" s="161"/>
      <c r="EA246" s="161"/>
      <c r="EB246" s="174"/>
    </row>
    <row r="247" spans="5:132">
      <c r="BO247" s="161"/>
      <c r="BP247" s="161"/>
      <c r="BQ247" s="161"/>
      <c r="BR247" s="161"/>
      <c r="BS247" s="161"/>
      <c r="BT247" s="161"/>
      <c r="BU247" s="161"/>
      <c r="BV247" s="161"/>
      <c r="BW247" s="161"/>
      <c r="BX247" s="161"/>
      <c r="BY247" s="161"/>
      <c r="BZ247" s="161"/>
      <c r="CA247" s="161"/>
      <c r="CB247" s="161"/>
      <c r="CC247" s="161"/>
      <c r="CD247" s="161"/>
      <c r="CE247" s="161"/>
      <c r="CF247" s="161"/>
      <c r="CG247" s="161"/>
      <c r="CH247" s="161"/>
      <c r="CI247" s="161"/>
      <c r="CJ247" s="161"/>
      <c r="CK247" s="161"/>
      <c r="CL247" s="161"/>
      <c r="CM247" s="161"/>
      <c r="CN247" s="161"/>
      <c r="CO247" s="161"/>
      <c r="CP247" s="161"/>
      <c r="CQ247" s="161"/>
      <c r="CR247" s="161"/>
      <c r="CS247" s="161"/>
      <c r="CT247" s="161"/>
      <c r="CU247" s="161"/>
      <c r="CV247" s="161"/>
      <c r="CW247" s="161"/>
      <c r="CX247" s="161"/>
      <c r="CY247" s="161"/>
      <c r="CZ247" s="161"/>
      <c r="DA247" s="161"/>
      <c r="DB247" s="161"/>
      <c r="DC247" s="161"/>
      <c r="DD247" s="161"/>
      <c r="DE247" s="161"/>
      <c r="DF247" s="161"/>
      <c r="DG247" s="161"/>
      <c r="DH247" s="161"/>
      <c r="DI247" s="161"/>
      <c r="DJ247" s="161"/>
      <c r="DK247" s="161"/>
      <c r="DL247" s="161"/>
      <c r="DM247" s="161"/>
      <c r="DN247" s="161"/>
      <c r="DO247" s="161"/>
      <c r="DP247" s="161"/>
      <c r="DQ247" s="161"/>
      <c r="DR247" s="161"/>
      <c r="DS247" s="161"/>
      <c r="DT247" s="161"/>
      <c r="DU247" s="161"/>
      <c r="DV247" s="161"/>
      <c r="DW247" s="161"/>
      <c r="DX247" s="161"/>
      <c r="DY247" s="161"/>
      <c r="DZ247" s="161"/>
      <c r="EA247" s="161"/>
      <c r="EB247" s="174"/>
    </row>
    <row r="248" spans="5:132">
      <c r="BO248" s="161"/>
      <c r="BP248" s="161"/>
      <c r="BQ248" s="161"/>
      <c r="BR248" s="161"/>
      <c r="BS248" s="161"/>
      <c r="BT248" s="161"/>
      <c r="BU248" s="161"/>
      <c r="BV248" s="161"/>
      <c r="BW248" s="161"/>
      <c r="BX248" s="161"/>
      <c r="BY248" s="161"/>
      <c r="BZ248" s="161"/>
      <c r="CA248" s="161"/>
      <c r="CB248" s="161"/>
      <c r="CC248" s="161"/>
      <c r="CD248" s="161"/>
      <c r="CE248" s="161"/>
      <c r="CF248" s="161"/>
      <c r="CG248" s="161"/>
      <c r="CH248" s="161"/>
      <c r="CI248" s="161"/>
      <c r="CJ248" s="161"/>
      <c r="CK248" s="161"/>
      <c r="CL248" s="161"/>
      <c r="CM248" s="161"/>
      <c r="CN248" s="161"/>
      <c r="CO248" s="161"/>
      <c r="CP248" s="161"/>
      <c r="CQ248" s="161"/>
      <c r="CR248" s="161"/>
      <c r="CS248" s="161"/>
      <c r="CT248" s="161"/>
      <c r="CU248" s="161"/>
      <c r="CV248" s="161"/>
      <c r="CW248" s="161"/>
      <c r="CX248" s="161"/>
      <c r="CY248" s="161"/>
      <c r="CZ248" s="161"/>
      <c r="DA248" s="161"/>
      <c r="DB248" s="161"/>
      <c r="DC248" s="161"/>
      <c r="DD248" s="161"/>
      <c r="DE248" s="161"/>
      <c r="DF248" s="161"/>
      <c r="DG248" s="161"/>
      <c r="DH248" s="161"/>
      <c r="DI248" s="161"/>
      <c r="DJ248" s="161"/>
      <c r="DK248" s="161"/>
      <c r="DL248" s="161"/>
      <c r="DM248" s="161"/>
      <c r="DN248" s="161"/>
      <c r="DO248" s="161"/>
      <c r="DP248" s="161"/>
      <c r="DQ248" s="161"/>
      <c r="DR248" s="161"/>
      <c r="DS248" s="161"/>
      <c r="DT248" s="161"/>
      <c r="DU248" s="161"/>
      <c r="DV248" s="161"/>
      <c r="DW248" s="161"/>
      <c r="DX248" s="161"/>
      <c r="DY248" s="161"/>
      <c r="DZ248" s="161"/>
      <c r="EA248" s="161"/>
      <c r="EB248" s="174"/>
    </row>
    <row r="249" spans="5:132">
      <c r="BO249" s="161"/>
      <c r="BP249" s="161"/>
      <c r="BQ249" s="161"/>
      <c r="BR249" s="161"/>
      <c r="BS249" s="161"/>
      <c r="BT249" s="161"/>
      <c r="BU249" s="161"/>
      <c r="BV249" s="161"/>
      <c r="BW249" s="161"/>
      <c r="BX249" s="161"/>
      <c r="BY249" s="161"/>
      <c r="BZ249" s="161"/>
      <c r="CA249" s="161"/>
      <c r="CB249" s="161"/>
      <c r="CC249" s="161"/>
      <c r="CD249" s="161"/>
      <c r="CE249" s="161"/>
      <c r="CF249" s="161"/>
      <c r="CG249" s="161"/>
      <c r="CH249" s="161"/>
      <c r="CI249" s="161"/>
      <c r="CJ249" s="161"/>
      <c r="CK249" s="161"/>
      <c r="CL249" s="161"/>
      <c r="CM249" s="161"/>
      <c r="CN249" s="161"/>
      <c r="CO249" s="161"/>
      <c r="CP249" s="161"/>
      <c r="CQ249" s="161"/>
      <c r="CR249" s="161"/>
      <c r="CS249" s="161"/>
      <c r="CT249" s="161"/>
      <c r="CU249" s="161"/>
      <c r="CV249" s="161"/>
      <c r="CW249" s="161"/>
      <c r="CX249" s="161"/>
      <c r="CY249" s="161"/>
      <c r="CZ249" s="161"/>
      <c r="DA249" s="161"/>
      <c r="DB249" s="161"/>
      <c r="DC249" s="161"/>
      <c r="DD249" s="161"/>
      <c r="DE249" s="161"/>
      <c r="DF249" s="161"/>
      <c r="DG249" s="161"/>
      <c r="DH249" s="161"/>
      <c r="DI249" s="161"/>
      <c r="DJ249" s="161"/>
      <c r="DK249" s="161"/>
      <c r="DL249" s="161"/>
      <c r="DM249" s="161"/>
      <c r="DN249" s="161"/>
      <c r="DO249" s="161"/>
      <c r="DP249" s="161"/>
      <c r="DQ249" s="161"/>
      <c r="DR249" s="161"/>
      <c r="DS249" s="161"/>
      <c r="DT249" s="161"/>
      <c r="DU249" s="161"/>
      <c r="DV249" s="161"/>
      <c r="DW249" s="161"/>
      <c r="DX249" s="161"/>
      <c r="DY249" s="161"/>
      <c r="DZ249" s="161"/>
      <c r="EA249" s="161"/>
      <c r="EB249" s="174"/>
    </row>
    <row r="250" spans="5:132">
      <c r="BO250" s="161"/>
      <c r="BP250" s="161"/>
      <c r="BQ250" s="161"/>
      <c r="BR250" s="161"/>
      <c r="BS250" s="161"/>
      <c r="BT250" s="161"/>
      <c r="BU250" s="161"/>
      <c r="BV250" s="161"/>
      <c r="BW250" s="161"/>
      <c r="BX250" s="161"/>
      <c r="BY250" s="161"/>
      <c r="BZ250" s="161"/>
      <c r="CA250" s="161"/>
      <c r="CB250" s="161"/>
      <c r="CC250" s="161"/>
      <c r="CD250" s="161"/>
      <c r="CE250" s="161"/>
      <c r="CF250" s="161"/>
      <c r="CG250" s="161"/>
      <c r="CH250" s="161"/>
      <c r="CI250" s="161"/>
      <c r="CJ250" s="161"/>
      <c r="CK250" s="161"/>
      <c r="CL250" s="161"/>
      <c r="CM250" s="161"/>
      <c r="CN250" s="161"/>
      <c r="CO250" s="161"/>
      <c r="CP250" s="161"/>
      <c r="CQ250" s="161"/>
      <c r="CR250" s="161"/>
      <c r="CS250" s="161"/>
      <c r="CT250" s="161"/>
      <c r="CU250" s="161"/>
      <c r="CV250" s="161"/>
      <c r="CW250" s="161"/>
      <c r="CX250" s="161"/>
      <c r="CY250" s="161"/>
      <c r="CZ250" s="161"/>
      <c r="DA250" s="161"/>
      <c r="DB250" s="161"/>
      <c r="DC250" s="161"/>
      <c r="DD250" s="161"/>
      <c r="DE250" s="161"/>
      <c r="DF250" s="161"/>
      <c r="DG250" s="161"/>
      <c r="DH250" s="161"/>
      <c r="DI250" s="161"/>
      <c r="DJ250" s="161"/>
      <c r="DK250" s="161"/>
      <c r="DL250" s="161"/>
      <c r="DM250" s="161"/>
      <c r="DN250" s="161"/>
      <c r="DO250" s="161"/>
      <c r="DP250" s="161"/>
      <c r="DQ250" s="161"/>
      <c r="DR250" s="161"/>
      <c r="DS250" s="161"/>
      <c r="DT250" s="161"/>
      <c r="DU250" s="161"/>
      <c r="DV250" s="161"/>
      <c r="DW250" s="161"/>
      <c r="DX250" s="161"/>
      <c r="DY250" s="161"/>
      <c r="DZ250" s="161"/>
      <c r="EA250" s="161"/>
      <c r="EB250" s="174"/>
    </row>
    <row r="251" spans="5:132">
      <c r="BO251" s="161"/>
      <c r="BP251" s="161"/>
      <c r="BQ251" s="161"/>
      <c r="BR251" s="161"/>
      <c r="BS251" s="161"/>
      <c r="BT251" s="161"/>
      <c r="BU251" s="161"/>
      <c r="BV251" s="161"/>
      <c r="BW251" s="161"/>
      <c r="BX251" s="161"/>
      <c r="BY251" s="161"/>
      <c r="BZ251" s="161"/>
      <c r="CA251" s="161"/>
      <c r="CB251" s="161"/>
      <c r="CC251" s="161"/>
      <c r="CD251" s="161"/>
      <c r="CE251" s="161"/>
      <c r="CF251" s="161"/>
      <c r="CG251" s="161"/>
      <c r="CH251" s="161"/>
      <c r="CI251" s="161"/>
      <c r="CJ251" s="161"/>
      <c r="CK251" s="161"/>
      <c r="CL251" s="161"/>
      <c r="CM251" s="161"/>
      <c r="CN251" s="161"/>
      <c r="CO251" s="161"/>
      <c r="CP251" s="161"/>
      <c r="CQ251" s="161"/>
      <c r="CR251" s="161"/>
      <c r="CS251" s="161"/>
      <c r="CT251" s="161"/>
      <c r="CU251" s="161"/>
      <c r="CV251" s="161"/>
      <c r="CW251" s="161"/>
      <c r="CX251" s="161"/>
      <c r="CY251" s="161"/>
      <c r="CZ251" s="161"/>
      <c r="DA251" s="161"/>
      <c r="DB251" s="161"/>
      <c r="DC251" s="161"/>
      <c r="DD251" s="161"/>
      <c r="DE251" s="161"/>
      <c r="DF251" s="161"/>
      <c r="DG251" s="161"/>
      <c r="DH251" s="161"/>
      <c r="DI251" s="161"/>
      <c r="DJ251" s="161"/>
      <c r="DK251" s="161"/>
      <c r="DL251" s="161"/>
      <c r="DM251" s="161"/>
      <c r="DN251" s="161"/>
      <c r="DO251" s="161"/>
      <c r="DP251" s="161"/>
      <c r="DQ251" s="161"/>
      <c r="DR251" s="161"/>
      <c r="DS251" s="161"/>
      <c r="DT251" s="161"/>
      <c r="DU251" s="161"/>
      <c r="DV251" s="161"/>
      <c r="DW251" s="161"/>
      <c r="DX251" s="161"/>
      <c r="DY251" s="161"/>
      <c r="DZ251" s="161"/>
      <c r="EA251" s="161"/>
      <c r="EB251" s="174"/>
    </row>
    <row r="252" spans="5:132">
      <c r="E252" s="75"/>
      <c r="H252" s="161"/>
      <c r="I252" s="161"/>
      <c r="K252" s="75"/>
      <c r="L252" s="75"/>
      <c r="S252" s="75"/>
      <c r="T252" s="75"/>
      <c r="U252" s="75"/>
      <c r="V252" s="75"/>
      <c r="W252" s="75"/>
      <c r="X252" s="75"/>
      <c r="Y252" s="75"/>
      <c r="Z252" s="75"/>
      <c r="AA252" s="75"/>
      <c r="AB252" s="75"/>
      <c r="AC252" s="75"/>
      <c r="AD252" s="75"/>
      <c r="AE252" s="75"/>
      <c r="AF252" s="75"/>
      <c r="AG252" s="75"/>
      <c r="AH252" s="75"/>
      <c r="BO252" s="161"/>
      <c r="BP252" s="161"/>
      <c r="BQ252" s="161"/>
      <c r="BR252" s="161"/>
      <c r="BS252" s="161"/>
      <c r="BT252" s="161"/>
      <c r="BU252" s="161"/>
      <c r="BV252" s="161"/>
      <c r="BW252" s="161"/>
      <c r="BX252" s="161"/>
      <c r="BY252" s="161"/>
      <c r="BZ252" s="161"/>
      <c r="CA252" s="161"/>
      <c r="CB252" s="161"/>
      <c r="CC252" s="161"/>
      <c r="CD252" s="161"/>
      <c r="CE252" s="161"/>
      <c r="CF252" s="161"/>
      <c r="CG252" s="161"/>
      <c r="CH252" s="161"/>
      <c r="CI252" s="161"/>
      <c r="CJ252" s="161"/>
      <c r="CK252" s="161"/>
      <c r="CL252" s="161"/>
      <c r="CM252" s="161"/>
      <c r="CN252" s="161"/>
      <c r="CO252" s="161"/>
      <c r="CP252" s="161"/>
      <c r="CQ252" s="161"/>
      <c r="CR252" s="161"/>
      <c r="CS252" s="161"/>
      <c r="CT252" s="161"/>
      <c r="CU252" s="161"/>
      <c r="CV252" s="161"/>
      <c r="CW252" s="161"/>
      <c r="CX252" s="161"/>
      <c r="CY252" s="161"/>
      <c r="CZ252" s="161"/>
      <c r="DA252" s="161"/>
      <c r="DB252" s="161"/>
      <c r="DC252" s="161"/>
      <c r="DD252" s="161"/>
      <c r="DE252" s="161"/>
      <c r="DF252" s="161"/>
      <c r="DG252" s="161"/>
      <c r="DH252" s="161"/>
      <c r="DI252" s="161"/>
      <c r="DJ252" s="161"/>
      <c r="DK252" s="161"/>
      <c r="DL252" s="161"/>
      <c r="DM252" s="161"/>
      <c r="DN252" s="161"/>
      <c r="DO252" s="161"/>
      <c r="DP252" s="161"/>
      <c r="DQ252" s="161"/>
      <c r="DR252" s="161"/>
      <c r="DS252" s="161"/>
      <c r="DT252" s="161"/>
      <c r="DU252" s="161"/>
      <c r="DV252" s="161"/>
      <c r="DW252" s="161"/>
      <c r="DX252" s="161"/>
      <c r="DY252" s="161"/>
      <c r="DZ252" s="161"/>
      <c r="EA252" s="161"/>
      <c r="EB252" s="161"/>
    </row>
    <row r="253" spans="5:132">
      <c r="BO253" s="161"/>
      <c r="BP253" s="161"/>
      <c r="BQ253" s="161"/>
      <c r="BR253" s="161"/>
      <c r="BS253" s="161"/>
      <c r="BT253" s="161"/>
      <c r="BU253" s="161"/>
      <c r="BV253" s="161"/>
      <c r="BW253" s="161"/>
      <c r="BX253" s="161"/>
      <c r="BY253" s="161"/>
      <c r="BZ253" s="161"/>
      <c r="CA253" s="161"/>
      <c r="CB253" s="161"/>
      <c r="CC253" s="161"/>
      <c r="CD253" s="161"/>
      <c r="CE253" s="161"/>
      <c r="CF253" s="161"/>
      <c r="CG253" s="161"/>
      <c r="CH253" s="161"/>
      <c r="CI253" s="161"/>
      <c r="CJ253" s="161"/>
      <c r="CK253" s="161"/>
      <c r="CL253" s="161"/>
      <c r="CM253" s="161"/>
      <c r="CN253" s="161"/>
      <c r="CO253" s="161"/>
      <c r="CP253" s="161"/>
      <c r="CQ253" s="161"/>
      <c r="CR253" s="161"/>
      <c r="CS253" s="161"/>
      <c r="CT253" s="161"/>
      <c r="CU253" s="161"/>
      <c r="CV253" s="161"/>
      <c r="CW253" s="161"/>
      <c r="CX253" s="161"/>
      <c r="CY253" s="161"/>
      <c r="CZ253" s="161"/>
      <c r="DA253" s="161"/>
      <c r="DB253" s="161"/>
      <c r="DC253" s="161"/>
      <c r="DD253" s="161"/>
      <c r="DE253" s="161"/>
      <c r="DF253" s="161"/>
      <c r="DG253" s="161"/>
      <c r="DH253" s="161"/>
      <c r="DI253" s="161"/>
      <c r="DJ253" s="161"/>
      <c r="DK253" s="161"/>
      <c r="DL253" s="161"/>
      <c r="DM253" s="161"/>
      <c r="DN253" s="161"/>
      <c r="DO253" s="161"/>
      <c r="DP253" s="161"/>
      <c r="DQ253" s="161"/>
      <c r="DR253" s="161"/>
      <c r="DS253" s="161"/>
      <c r="DT253" s="161"/>
      <c r="DU253" s="161"/>
      <c r="DV253" s="161"/>
      <c r="DW253" s="161"/>
      <c r="DX253" s="161"/>
      <c r="DY253" s="161"/>
      <c r="DZ253" s="161"/>
      <c r="EA253" s="161"/>
      <c r="EB253" s="174"/>
    </row>
    <row r="254" spans="5:132">
      <c r="BO254" s="161"/>
      <c r="BP254" s="161"/>
      <c r="BQ254" s="161"/>
      <c r="BR254" s="161"/>
      <c r="BS254" s="161"/>
      <c r="BT254" s="161"/>
      <c r="BU254" s="161"/>
      <c r="BV254" s="161"/>
      <c r="BW254" s="161"/>
      <c r="BX254" s="161"/>
      <c r="BY254" s="161"/>
      <c r="BZ254" s="161"/>
      <c r="CA254" s="161"/>
      <c r="CB254" s="161"/>
      <c r="CC254" s="161"/>
      <c r="CD254" s="161"/>
      <c r="CE254" s="161"/>
      <c r="CF254" s="161"/>
      <c r="CG254" s="161"/>
      <c r="CH254" s="161"/>
      <c r="CI254" s="161"/>
      <c r="CJ254" s="161"/>
      <c r="CK254" s="161"/>
      <c r="CL254" s="161"/>
      <c r="CM254" s="161"/>
      <c r="CN254" s="161"/>
      <c r="CO254" s="161"/>
      <c r="CP254" s="161"/>
      <c r="CQ254" s="161"/>
      <c r="CR254" s="161"/>
      <c r="CS254" s="161"/>
      <c r="CT254" s="161"/>
      <c r="CU254" s="161"/>
      <c r="CV254" s="161"/>
      <c r="CW254" s="161"/>
      <c r="CX254" s="161"/>
      <c r="CY254" s="161"/>
      <c r="CZ254" s="161"/>
      <c r="DA254" s="161"/>
      <c r="DB254" s="161"/>
      <c r="DC254" s="161"/>
      <c r="DD254" s="161"/>
      <c r="DE254" s="161"/>
      <c r="DF254" s="161"/>
      <c r="DG254" s="161"/>
      <c r="DH254" s="161"/>
      <c r="DI254" s="161"/>
      <c r="DJ254" s="161"/>
      <c r="DK254" s="161"/>
      <c r="DL254" s="161"/>
      <c r="DM254" s="161"/>
      <c r="DN254" s="161"/>
      <c r="DO254" s="161"/>
      <c r="DP254" s="161"/>
      <c r="DQ254" s="161"/>
      <c r="DR254" s="161"/>
      <c r="DS254" s="161"/>
      <c r="DT254" s="161"/>
      <c r="DU254" s="161"/>
      <c r="DV254" s="161"/>
      <c r="DW254" s="161"/>
      <c r="DX254" s="161"/>
      <c r="DY254" s="161"/>
      <c r="DZ254" s="161"/>
      <c r="EA254" s="161"/>
      <c r="EB254" s="174"/>
    </row>
    <row r="255" spans="5:132">
      <c r="BO255" s="161"/>
      <c r="BP255" s="161"/>
      <c r="BQ255" s="161"/>
      <c r="BR255" s="161"/>
      <c r="BS255" s="161"/>
      <c r="BT255" s="161"/>
      <c r="BU255" s="161"/>
      <c r="BV255" s="161"/>
      <c r="BW255" s="161"/>
      <c r="BX255" s="161"/>
      <c r="BY255" s="161"/>
      <c r="BZ255" s="161"/>
      <c r="CA255" s="161"/>
      <c r="CB255" s="161"/>
      <c r="CC255" s="161"/>
      <c r="CD255" s="161"/>
      <c r="CE255" s="161"/>
      <c r="CF255" s="161"/>
      <c r="CG255" s="161"/>
      <c r="CH255" s="161"/>
      <c r="CI255" s="161"/>
      <c r="CJ255" s="161"/>
      <c r="CK255" s="161"/>
      <c r="CL255" s="161"/>
      <c r="CM255" s="161"/>
      <c r="CN255" s="161"/>
      <c r="CO255" s="161"/>
      <c r="CP255" s="161"/>
      <c r="CQ255" s="161"/>
      <c r="CR255" s="161"/>
      <c r="CS255" s="161"/>
      <c r="CT255" s="161"/>
      <c r="CU255" s="161"/>
      <c r="CV255" s="161"/>
      <c r="CW255" s="161"/>
      <c r="CX255" s="161"/>
      <c r="CY255" s="161"/>
      <c r="CZ255" s="161"/>
      <c r="DA255" s="161"/>
      <c r="DB255" s="161"/>
      <c r="DC255" s="161"/>
      <c r="DD255" s="161"/>
      <c r="DE255" s="161"/>
      <c r="DF255" s="161"/>
      <c r="DG255" s="161"/>
      <c r="DH255" s="161"/>
      <c r="DI255" s="161"/>
      <c r="DJ255" s="161"/>
      <c r="DK255" s="161"/>
      <c r="DL255" s="161"/>
      <c r="DM255" s="161"/>
      <c r="DN255" s="161"/>
      <c r="DO255" s="161"/>
      <c r="DP255" s="161"/>
      <c r="DQ255" s="161"/>
      <c r="DR255" s="161"/>
      <c r="DS255" s="161"/>
      <c r="DT255" s="161"/>
      <c r="DU255" s="161"/>
      <c r="DV255" s="161"/>
      <c r="DW255" s="161"/>
      <c r="DX255" s="161"/>
      <c r="DY255" s="161"/>
      <c r="DZ255" s="161"/>
      <c r="EA255" s="161"/>
      <c r="EB255" s="174"/>
    </row>
    <row r="256" spans="5:132">
      <c r="BO256" s="161"/>
      <c r="BP256" s="161"/>
      <c r="BQ256" s="161"/>
      <c r="BR256" s="161"/>
      <c r="BS256" s="161"/>
      <c r="BT256" s="161"/>
      <c r="BU256" s="161"/>
      <c r="BV256" s="161"/>
      <c r="BW256" s="161"/>
      <c r="BX256" s="161"/>
      <c r="BY256" s="161"/>
      <c r="BZ256" s="161"/>
      <c r="CA256" s="161"/>
      <c r="CB256" s="161"/>
      <c r="CC256" s="161"/>
      <c r="CD256" s="161"/>
      <c r="CE256" s="161"/>
      <c r="CF256" s="161"/>
      <c r="CG256" s="161"/>
      <c r="CH256" s="161"/>
      <c r="CI256" s="161"/>
      <c r="CJ256" s="161"/>
      <c r="CK256" s="161"/>
      <c r="CL256" s="161"/>
      <c r="CM256" s="161"/>
      <c r="CN256" s="161"/>
      <c r="CO256" s="161"/>
      <c r="CP256" s="161"/>
      <c r="CQ256" s="161"/>
      <c r="CR256" s="161"/>
      <c r="CS256" s="161"/>
      <c r="CT256" s="161"/>
      <c r="CU256" s="161"/>
      <c r="CV256" s="161"/>
      <c r="CW256" s="161"/>
      <c r="CX256" s="161"/>
      <c r="CY256" s="161"/>
      <c r="CZ256" s="161"/>
      <c r="DA256" s="161"/>
      <c r="DB256" s="161"/>
      <c r="DC256" s="161"/>
      <c r="DD256" s="161"/>
      <c r="DE256" s="161"/>
      <c r="DF256" s="161"/>
      <c r="DG256" s="161"/>
      <c r="DH256" s="161"/>
      <c r="DI256" s="161"/>
      <c r="DJ256" s="161"/>
      <c r="DK256" s="161"/>
      <c r="DL256" s="161"/>
      <c r="DM256" s="161"/>
      <c r="DN256" s="161"/>
      <c r="DO256" s="161"/>
      <c r="DP256" s="161"/>
      <c r="DQ256" s="161"/>
      <c r="DR256" s="161"/>
      <c r="DS256" s="161"/>
      <c r="DT256" s="161"/>
      <c r="DU256" s="161"/>
      <c r="DV256" s="161"/>
      <c r="DW256" s="161"/>
      <c r="DX256" s="161"/>
      <c r="DY256" s="161"/>
      <c r="DZ256" s="161"/>
      <c r="EA256" s="161"/>
      <c r="EB256" s="174"/>
    </row>
    <row r="257" spans="67:132">
      <c r="BO257" s="161"/>
      <c r="BP257" s="161"/>
      <c r="BQ257" s="161"/>
      <c r="BR257" s="161"/>
      <c r="BS257" s="161"/>
      <c r="BT257" s="161"/>
      <c r="BU257" s="161"/>
      <c r="BV257" s="161"/>
      <c r="BW257" s="161"/>
      <c r="BX257" s="161"/>
      <c r="BY257" s="161"/>
      <c r="BZ257" s="161"/>
      <c r="CA257" s="161"/>
      <c r="CB257" s="161"/>
      <c r="CC257" s="161"/>
      <c r="CD257" s="161"/>
      <c r="CE257" s="161"/>
      <c r="CF257" s="161"/>
      <c r="CG257" s="161"/>
      <c r="CH257" s="161"/>
      <c r="CI257" s="161"/>
      <c r="CJ257" s="161"/>
      <c r="CK257" s="161"/>
      <c r="CL257" s="161"/>
      <c r="CM257" s="161"/>
      <c r="CN257" s="161"/>
      <c r="CO257" s="161"/>
      <c r="CP257" s="161"/>
      <c r="CQ257" s="161"/>
      <c r="CR257" s="161"/>
      <c r="CS257" s="161"/>
      <c r="CT257" s="161"/>
      <c r="CU257" s="161"/>
      <c r="CV257" s="161"/>
      <c r="CW257" s="161"/>
      <c r="CX257" s="161"/>
      <c r="CY257" s="161"/>
      <c r="CZ257" s="161"/>
      <c r="DA257" s="161"/>
      <c r="DB257" s="161"/>
      <c r="DC257" s="161"/>
      <c r="DD257" s="161"/>
      <c r="DE257" s="161"/>
      <c r="DF257" s="161"/>
      <c r="DG257" s="161"/>
      <c r="DH257" s="161"/>
      <c r="DI257" s="161"/>
      <c r="DJ257" s="161"/>
      <c r="DK257" s="161"/>
      <c r="DL257" s="161"/>
      <c r="DM257" s="161"/>
      <c r="DN257" s="161"/>
      <c r="DO257" s="161"/>
      <c r="DP257" s="161"/>
      <c r="DQ257" s="161"/>
      <c r="DR257" s="161"/>
      <c r="DS257" s="161"/>
      <c r="DT257" s="161"/>
      <c r="DU257" s="161"/>
      <c r="DV257" s="161"/>
      <c r="DW257" s="161"/>
      <c r="DX257" s="161"/>
      <c r="DY257" s="161"/>
      <c r="DZ257" s="161"/>
      <c r="EA257" s="161"/>
      <c r="EB257" s="174"/>
    </row>
    <row r="258" spans="67:132">
      <c r="BO258" s="161"/>
      <c r="BP258" s="161"/>
      <c r="BQ258" s="161"/>
      <c r="BR258" s="161"/>
      <c r="BS258" s="161"/>
      <c r="BT258" s="161"/>
      <c r="BU258" s="161"/>
      <c r="BV258" s="161"/>
      <c r="BW258" s="161"/>
      <c r="BX258" s="161"/>
      <c r="BY258" s="161"/>
      <c r="BZ258" s="161"/>
      <c r="CA258" s="161"/>
      <c r="CB258" s="161"/>
      <c r="CC258" s="161"/>
      <c r="CD258" s="161"/>
      <c r="CE258" s="161"/>
      <c r="CF258" s="161"/>
      <c r="CG258" s="161"/>
      <c r="CH258" s="161"/>
      <c r="CI258" s="161"/>
      <c r="CJ258" s="161"/>
      <c r="CK258" s="161"/>
      <c r="CL258" s="161"/>
      <c r="CM258" s="161"/>
      <c r="CN258" s="161"/>
      <c r="CO258" s="161"/>
      <c r="CP258" s="161"/>
      <c r="CQ258" s="161"/>
      <c r="CR258" s="161"/>
      <c r="CS258" s="161"/>
      <c r="CT258" s="161"/>
      <c r="CU258" s="161"/>
      <c r="CV258" s="161"/>
      <c r="CW258" s="161"/>
      <c r="CX258" s="161"/>
      <c r="CY258" s="161"/>
      <c r="CZ258" s="161"/>
      <c r="DA258" s="161"/>
      <c r="DB258" s="161"/>
      <c r="DC258" s="161"/>
      <c r="DD258" s="161"/>
      <c r="DE258" s="161"/>
      <c r="DF258" s="161"/>
      <c r="DG258" s="161"/>
      <c r="DH258" s="161"/>
      <c r="DI258" s="161"/>
      <c r="DJ258" s="161"/>
      <c r="DK258" s="161"/>
      <c r="DL258" s="161"/>
      <c r="DM258" s="161"/>
      <c r="DN258" s="161"/>
      <c r="DO258" s="161"/>
      <c r="DP258" s="161"/>
      <c r="DQ258" s="161"/>
      <c r="DR258" s="161"/>
      <c r="DS258" s="161"/>
      <c r="DT258" s="161"/>
      <c r="DU258" s="161"/>
      <c r="DV258" s="161"/>
      <c r="DW258" s="161"/>
      <c r="DX258" s="161"/>
      <c r="DY258" s="161"/>
      <c r="DZ258" s="161"/>
      <c r="EA258" s="161"/>
      <c r="EB258" s="174"/>
    </row>
    <row r="259" spans="67:132">
      <c r="BO259" s="161"/>
      <c r="BP259" s="161"/>
      <c r="BQ259" s="161"/>
      <c r="BR259" s="161"/>
      <c r="BS259" s="161"/>
      <c r="BT259" s="161"/>
      <c r="BU259" s="161"/>
      <c r="BV259" s="161"/>
      <c r="BW259" s="161"/>
      <c r="BX259" s="161"/>
      <c r="BY259" s="161"/>
      <c r="BZ259" s="161"/>
      <c r="CA259" s="161"/>
      <c r="CB259" s="161"/>
      <c r="CC259" s="161"/>
      <c r="CD259" s="161"/>
      <c r="CE259" s="161"/>
      <c r="CF259" s="161"/>
      <c r="CG259" s="161"/>
      <c r="CH259" s="161"/>
      <c r="CI259" s="161"/>
      <c r="CJ259" s="161"/>
      <c r="CK259" s="161"/>
      <c r="CL259" s="161"/>
      <c r="CM259" s="161"/>
      <c r="CN259" s="161"/>
      <c r="CO259" s="161"/>
      <c r="CP259" s="161"/>
      <c r="CQ259" s="161"/>
      <c r="CR259" s="161"/>
      <c r="CS259" s="161"/>
      <c r="CT259" s="161"/>
      <c r="CU259" s="161"/>
      <c r="CV259" s="161"/>
      <c r="CW259" s="161"/>
      <c r="CX259" s="161"/>
      <c r="CY259" s="161"/>
      <c r="CZ259" s="161"/>
      <c r="DA259" s="161"/>
      <c r="DB259" s="161"/>
      <c r="DC259" s="161"/>
      <c r="DD259" s="161"/>
      <c r="DE259" s="161"/>
      <c r="DF259" s="161"/>
      <c r="DG259" s="161"/>
      <c r="DH259" s="161"/>
      <c r="DI259" s="161"/>
      <c r="DJ259" s="161"/>
      <c r="DK259" s="161"/>
      <c r="DL259" s="161"/>
      <c r="DM259" s="161"/>
      <c r="DN259" s="161"/>
      <c r="DO259" s="161"/>
      <c r="DP259" s="161"/>
      <c r="DQ259" s="161"/>
      <c r="DR259" s="161"/>
      <c r="DS259" s="161"/>
      <c r="DT259" s="161"/>
      <c r="DU259" s="161"/>
      <c r="DV259" s="161"/>
      <c r="DW259" s="161"/>
      <c r="DX259" s="161"/>
      <c r="DY259" s="161"/>
      <c r="DZ259" s="161"/>
      <c r="EA259" s="161"/>
      <c r="EB259" s="174"/>
    </row>
    <row r="260" spans="67:132">
      <c r="BO260" s="161"/>
      <c r="BP260" s="161"/>
      <c r="BQ260" s="161"/>
      <c r="BR260" s="161"/>
      <c r="BS260" s="161"/>
      <c r="BT260" s="161"/>
      <c r="BU260" s="161"/>
      <c r="BV260" s="161"/>
      <c r="BW260" s="161"/>
      <c r="BX260" s="161"/>
      <c r="BY260" s="161"/>
      <c r="BZ260" s="161"/>
      <c r="CA260" s="161"/>
      <c r="CB260" s="161"/>
      <c r="CC260" s="161"/>
      <c r="CD260" s="161"/>
      <c r="CE260" s="161"/>
      <c r="CF260" s="161"/>
      <c r="CG260" s="161"/>
      <c r="CH260" s="161"/>
      <c r="CI260" s="161"/>
      <c r="CJ260" s="161"/>
      <c r="CK260" s="161"/>
      <c r="CL260" s="161"/>
      <c r="CM260" s="161"/>
      <c r="CN260" s="161"/>
      <c r="CO260" s="161"/>
      <c r="CP260" s="161"/>
      <c r="CQ260" s="161"/>
      <c r="CR260" s="161"/>
      <c r="CS260" s="161"/>
      <c r="CT260" s="161"/>
      <c r="CU260" s="161"/>
      <c r="CV260" s="161"/>
      <c r="CW260" s="161"/>
      <c r="CX260" s="161"/>
      <c r="CY260" s="161"/>
      <c r="CZ260" s="161"/>
      <c r="DA260" s="161"/>
      <c r="DB260" s="161"/>
      <c r="DC260" s="161"/>
      <c r="DD260" s="161"/>
      <c r="DE260" s="161"/>
      <c r="DF260" s="161"/>
      <c r="DG260" s="161"/>
      <c r="DH260" s="161"/>
      <c r="DI260" s="161"/>
      <c r="DJ260" s="161"/>
      <c r="DK260" s="161"/>
      <c r="DL260" s="161"/>
      <c r="DM260" s="161"/>
      <c r="DN260" s="161"/>
      <c r="DO260" s="161"/>
      <c r="DP260" s="161"/>
      <c r="DQ260" s="161"/>
      <c r="DR260" s="161"/>
      <c r="DS260" s="161"/>
      <c r="DT260" s="161"/>
      <c r="DU260" s="161"/>
      <c r="DV260" s="161"/>
      <c r="DW260" s="161"/>
      <c r="DX260" s="161"/>
      <c r="DY260" s="161"/>
      <c r="DZ260" s="161"/>
      <c r="EA260" s="161"/>
      <c r="EB260" s="174"/>
    </row>
    <row r="261" spans="67:132">
      <c r="BO261" s="161"/>
      <c r="BP261" s="161"/>
      <c r="BQ261" s="161"/>
      <c r="BR261" s="161"/>
      <c r="BS261" s="161"/>
      <c r="BT261" s="161"/>
      <c r="BU261" s="161"/>
      <c r="BV261" s="161"/>
      <c r="BW261" s="161"/>
      <c r="BX261" s="161"/>
      <c r="BY261" s="161"/>
      <c r="BZ261" s="161"/>
      <c r="CA261" s="161"/>
      <c r="CB261" s="161"/>
      <c r="CC261" s="161"/>
      <c r="CD261" s="161"/>
      <c r="CE261" s="161"/>
      <c r="CF261" s="161"/>
      <c r="CG261" s="161"/>
      <c r="CH261" s="161"/>
      <c r="CI261" s="161"/>
      <c r="CJ261" s="161"/>
      <c r="CK261" s="161"/>
      <c r="CL261" s="161"/>
      <c r="CM261" s="161"/>
      <c r="CN261" s="161"/>
      <c r="CO261" s="161"/>
      <c r="CP261" s="161"/>
      <c r="CQ261" s="161"/>
      <c r="CR261" s="161"/>
      <c r="CS261" s="161"/>
      <c r="CT261" s="161"/>
      <c r="CU261" s="161"/>
      <c r="CV261" s="161"/>
      <c r="CW261" s="161"/>
      <c r="CX261" s="161"/>
      <c r="CY261" s="161"/>
      <c r="CZ261" s="161"/>
      <c r="DA261" s="161"/>
      <c r="DB261" s="161"/>
      <c r="DC261" s="161"/>
      <c r="DD261" s="161"/>
      <c r="DE261" s="161"/>
      <c r="DF261" s="161"/>
      <c r="DG261" s="161"/>
      <c r="DH261" s="161"/>
      <c r="DI261" s="161"/>
      <c r="DJ261" s="161"/>
      <c r="DK261" s="161"/>
      <c r="DL261" s="161"/>
      <c r="DM261" s="161"/>
      <c r="DN261" s="161"/>
      <c r="DO261" s="161"/>
      <c r="DP261" s="161"/>
      <c r="DQ261" s="161"/>
      <c r="DR261" s="161"/>
      <c r="DS261" s="161"/>
      <c r="DT261" s="161"/>
      <c r="DU261" s="161"/>
      <c r="DV261" s="161"/>
      <c r="DW261" s="161"/>
      <c r="DX261" s="161"/>
      <c r="DY261" s="161"/>
      <c r="DZ261" s="161"/>
      <c r="EA261" s="161"/>
      <c r="EB261" s="174"/>
    </row>
    <row r="262" spans="67:132">
      <c r="BO262" s="161"/>
      <c r="BP262" s="161"/>
      <c r="BQ262" s="161"/>
      <c r="BR262" s="161"/>
      <c r="BS262" s="161"/>
      <c r="BT262" s="161"/>
      <c r="BU262" s="161"/>
      <c r="BV262" s="161"/>
      <c r="BW262" s="161"/>
      <c r="BX262" s="161"/>
      <c r="BY262" s="161"/>
      <c r="BZ262" s="161"/>
      <c r="CA262" s="161"/>
      <c r="CB262" s="161"/>
      <c r="CC262" s="161"/>
      <c r="CD262" s="161"/>
      <c r="CE262" s="161"/>
      <c r="CF262" s="161"/>
      <c r="CG262" s="161"/>
      <c r="CH262" s="161"/>
      <c r="CI262" s="161"/>
      <c r="CJ262" s="161"/>
      <c r="CK262" s="161"/>
      <c r="CL262" s="161"/>
      <c r="CM262" s="161"/>
      <c r="CN262" s="161"/>
      <c r="CO262" s="161"/>
      <c r="CP262" s="161"/>
      <c r="CQ262" s="161"/>
      <c r="CR262" s="161"/>
      <c r="CS262" s="161"/>
      <c r="CT262" s="161"/>
      <c r="CU262" s="161"/>
      <c r="CV262" s="161"/>
      <c r="CW262" s="161"/>
      <c r="CX262" s="161"/>
      <c r="CY262" s="161"/>
      <c r="CZ262" s="161"/>
      <c r="DA262" s="161"/>
      <c r="DB262" s="161"/>
      <c r="DC262" s="161"/>
      <c r="DD262" s="161"/>
      <c r="DE262" s="161"/>
      <c r="DF262" s="161"/>
      <c r="DG262" s="161"/>
      <c r="DH262" s="161"/>
      <c r="DI262" s="161"/>
      <c r="DJ262" s="161"/>
      <c r="DK262" s="161"/>
      <c r="DL262" s="161"/>
      <c r="DM262" s="161"/>
      <c r="DN262" s="161"/>
      <c r="DO262" s="161"/>
      <c r="DP262" s="161"/>
      <c r="DQ262" s="161"/>
      <c r="DR262" s="161"/>
      <c r="DS262" s="161"/>
      <c r="DT262" s="161"/>
      <c r="DU262" s="161"/>
      <c r="DV262" s="161"/>
      <c r="DW262" s="161"/>
      <c r="DX262" s="161"/>
      <c r="DY262" s="161"/>
      <c r="DZ262" s="161"/>
      <c r="EA262" s="161"/>
      <c r="EB262" s="174"/>
    </row>
    <row r="263" spans="67:132">
      <c r="BO263" s="161"/>
      <c r="BP263" s="161"/>
      <c r="BQ263" s="161"/>
      <c r="BR263" s="161"/>
      <c r="BS263" s="161"/>
      <c r="BT263" s="161"/>
      <c r="BU263" s="161"/>
      <c r="BV263" s="161"/>
      <c r="BW263" s="161"/>
      <c r="BX263" s="161"/>
      <c r="BY263" s="161"/>
      <c r="BZ263" s="161"/>
      <c r="CA263" s="161"/>
      <c r="CB263" s="161"/>
      <c r="CC263" s="161"/>
      <c r="CD263" s="161"/>
      <c r="CE263" s="161"/>
      <c r="CF263" s="161"/>
      <c r="CG263" s="161"/>
      <c r="CH263" s="161"/>
      <c r="CI263" s="161"/>
      <c r="CJ263" s="161"/>
      <c r="CK263" s="161"/>
      <c r="CL263" s="161"/>
      <c r="CM263" s="161"/>
      <c r="CN263" s="161"/>
      <c r="CO263" s="161"/>
      <c r="CP263" s="161"/>
      <c r="CQ263" s="161"/>
      <c r="CR263" s="161"/>
      <c r="CS263" s="161"/>
      <c r="CT263" s="161"/>
      <c r="CU263" s="161"/>
      <c r="CV263" s="161"/>
      <c r="CW263" s="161"/>
      <c r="CX263" s="161"/>
      <c r="CY263" s="161"/>
      <c r="CZ263" s="161"/>
      <c r="DA263" s="161"/>
      <c r="DB263" s="161"/>
      <c r="DC263" s="161"/>
      <c r="DD263" s="161"/>
      <c r="DE263" s="161"/>
      <c r="DF263" s="161"/>
      <c r="DG263" s="161"/>
      <c r="DH263" s="161"/>
      <c r="DI263" s="161"/>
      <c r="DJ263" s="161"/>
      <c r="DK263" s="161"/>
      <c r="DL263" s="161"/>
      <c r="DM263" s="161"/>
      <c r="DN263" s="161"/>
      <c r="DO263" s="161"/>
      <c r="DP263" s="161"/>
      <c r="DQ263" s="161"/>
      <c r="DR263" s="161"/>
      <c r="DS263" s="161"/>
      <c r="DT263" s="161"/>
      <c r="DU263" s="161"/>
      <c r="DV263" s="161"/>
      <c r="DW263" s="161"/>
      <c r="DX263" s="161"/>
      <c r="DY263" s="161"/>
      <c r="DZ263" s="161"/>
      <c r="EA263" s="161"/>
      <c r="EB263" s="174"/>
    </row>
    <row r="264" spans="67:132">
      <c r="BO264" s="161"/>
      <c r="BP264" s="161"/>
      <c r="BQ264" s="161"/>
      <c r="BR264" s="161"/>
      <c r="BS264" s="161"/>
      <c r="BT264" s="161"/>
      <c r="BU264" s="161"/>
      <c r="BV264" s="161"/>
      <c r="BW264" s="161"/>
      <c r="BX264" s="161"/>
      <c r="BY264" s="161"/>
      <c r="BZ264" s="161"/>
      <c r="CA264" s="161"/>
      <c r="CB264" s="161"/>
      <c r="CC264" s="161"/>
      <c r="CD264" s="161"/>
      <c r="CE264" s="161"/>
      <c r="CF264" s="161"/>
      <c r="CG264" s="161"/>
      <c r="CH264" s="161"/>
      <c r="CI264" s="161"/>
      <c r="CJ264" s="161"/>
      <c r="CK264" s="161"/>
      <c r="CL264" s="161"/>
      <c r="CM264" s="161"/>
      <c r="CN264" s="161"/>
      <c r="CO264" s="161"/>
      <c r="CP264" s="161"/>
      <c r="CQ264" s="161"/>
      <c r="CR264" s="161"/>
      <c r="CS264" s="161"/>
      <c r="CT264" s="161"/>
      <c r="CU264" s="161"/>
      <c r="CV264" s="161"/>
      <c r="CW264" s="161"/>
      <c r="CX264" s="161"/>
      <c r="CY264" s="161"/>
      <c r="CZ264" s="161"/>
      <c r="DA264" s="161"/>
      <c r="DB264" s="161"/>
      <c r="DC264" s="161"/>
      <c r="DD264" s="161"/>
      <c r="DE264" s="161"/>
      <c r="DF264" s="161"/>
      <c r="DG264" s="161"/>
      <c r="DH264" s="161"/>
      <c r="DI264" s="161"/>
      <c r="DJ264" s="161"/>
      <c r="DK264" s="161"/>
      <c r="DL264" s="161"/>
      <c r="DM264" s="161"/>
      <c r="DN264" s="161"/>
      <c r="DO264" s="161"/>
      <c r="DP264" s="161"/>
      <c r="DQ264" s="161"/>
      <c r="DR264" s="161"/>
      <c r="DS264" s="161"/>
      <c r="DT264" s="161"/>
      <c r="DU264" s="161"/>
      <c r="DV264" s="161"/>
      <c r="DW264" s="161"/>
      <c r="DX264" s="161"/>
      <c r="DY264" s="161"/>
      <c r="DZ264" s="161"/>
      <c r="EA264" s="161"/>
      <c r="EB264" s="174"/>
    </row>
    <row r="265" spans="67:132">
      <c r="BO265" s="161"/>
      <c r="BP265" s="161"/>
      <c r="BQ265" s="161"/>
      <c r="BR265" s="161"/>
      <c r="BS265" s="161"/>
      <c r="BT265" s="161"/>
      <c r="BU265" s="161"/>
      <c r="BV265" s="161"/>
      <c r="BW265" s="161"/>
      <c r="BX265" s="161"/>
      <c r="BY265" s="161"/>
      <c r="BZ265" s="161"/>
      <c r="CA265" s="161"/>
      <c r="CB265" s="161"/>
      <c r="CC265" s="161"/>
      <c r="CD265" s="161"/>
      <c r="CE265" s="161"/>
      <c r="CF265" s="161"/>
      <c r="CG265" s="161"/>
      <c r="CH265" s="161"/>
      <c r="CI265" s="161"/>
      <c r="CJ265" s="161"/>
      <c r="CK265" s="161"/>
      <c r="CL265" s="161"/>
      <c r="CM265" s="161"/>
      <c r="CN265" s="161"/>
      <c r="CO265" s="161"/>
      <c r="CP265" s="161"/>
      <c r="CQ265" s="161"/>
      <c r="CR265" s="161"/>
      <c r="CS265" s="161"/>
      <c r="CT265" s="161"/>
      <c r="CU265" s="161"/>
      <c r="CV265" s="161"/>
      <c r="CW265" s="161"/>
      <c r="CX265" s="161"/>
      <c r="CY265" s="161"/>
      <c r="CZ265" s="161"/>
      <c r="DA265" s="161"/>
      <c r="DB265" s="161"/>
      <c r="DC265" s="161"/>
      <c r="DD265" s="161"/>
      <c r="DE265" s="161"/>
      <c r="DF265" s="161"/>
      <c r="DG265" s="161"/>
      <c r="DH265" s="161"/>
      <c r="DI265" s="161"/>
      <c r="DJ265" s="161"/>
      <c r="DK265" s="161"/>
      <c r="DL265" s="161"/>
      <c r="DM265" s="161"/>
      <c r="DN265" s="161"/>
      <c r="DO265" s="161"/>
      <c r="DP265" s="161"/>
      <c r="DQ265" s="161"/>
      <c r="DR265" s="161"/>
      <c r="DS265" s="161"/>
      <c r="DT265" s="161"/>
      <c r="DU265" s="161"/>
      <c r="DV265" s="161"/>
      <c r="DW265" s="161"/>
      <c r="DX265" s="161"/>
      <c r="DY265" s="161"/>
      <c r="DZ265" s="161"/>
      <c r="EA265" s="161"/>
      <c r="EB265" s="174"/>
    </row>
    <row r="266" spans="67:132">
      <c r="BO266" s="161"/>
      <c r="BP266" s="161"/>
      <c r="BQ266" s="161"/>
      <c r="BR266" s="161"/>
      <c r="BS266" s="161"/>
      <c r="BT266" s="161"/>
      <c r="BU266" s="161"/>
      <c r="BV266" s="161"/>
      <c r="BW266" s="161"/>
      <c r="BX266" s="161"/>
      <c r="BY266" s="161"/>
      <c r="BZ266" s="161"/>
      <c r="CA266" s="161"/>
      <c r="CB266" s="161"/>
      <c r="CC266" s="161"/>
      <c r="CD266" s="161"/>
      <c r="CE266" s="161"/>
      <c r="CF266" s="161"/>
      <c r="CG266" s="161"/>
      <c r="CH266" s="161"/>
      <c r="CI266" s="161"/>
      <c r="CJ266" s="161"/>
      <c r="CK266" s="161"/>
      <c r="CL266" s="161"/>
      <c r="CM266" s="161"/>
      <c r="CN266" s="161"/>
      <c r="CO266" s="161"/>
      <c r="CP266" s="161"/>
      <c r="CQ266" s="161"/>
      <c r="CR266" s="161"/>
      <c r="CS266" s="161"/>
      <c r="CT266" s="161"/>
      <c r="CU266" s="161"/>
      <c r="CV266" s="161"/>
      <c r="CW266" s="161"/>
      <c r="CX266" s="161"/>
      <c r="CY266" s="161"/>
      <c r="CZ266" s="161"/>
      <c r="DA266" s="161"/>
      <c r="DB266" s="161"/>
      <c r="DC266" s="161"/>
      <c r="DD266" s="161"/>
      <c r="DE266" s="161"/>
      <c r="DF266" s="161"/>
      <c r="DG266" s="161"/>
      <c r="DH266" s="161"/>
      <c r="DI266" s="161"/>
      <c r="DJ266" s="161"/>
      <c r="DK266" s="161"/>
      <c r="DL266" s="161"/>
      <c r="DM266" s="161"/>
      <c r="DN266" s="161"/>
      <c r="DO266" s="161"/>
      <c r="DP266" s="161"/>
      <c r="DQ266" s="161"/>
      <c r="DR266" s="161"/>
      <c r="DS266" s="161"/>
      <c r="DT266" s="161"/>
      <c r="DU266" s="161"/>
      <c r="DV266" s="161"/>
      <c r="DW266" s="161"/>
      <c r="DX266" s="161"/>
      <c r="DY266" s="161"/>
      <c r="DZ266" s="161"/>
      <c r="EA266" s="161"/>
      <c r="EB266" s="174"/>
    </row>
    <row r="267" spans="67:132">
      <c r="BO267" s="161"/>
      <c r="BP267" s="161"/>
      <c r="BQ267" s="161"/>
      <c r="BR267" s="161"/>
      <c r="BS267" s="161"/>
      <c r="BT267" s="161"/>
      <c r="BU267" s="161"/>
      <c r="BV267" s="161"/>
      <c r="BW267" s="161"/>
      <c r="BX267" s="161"/>
      <c r="BY267" s="161"/>
      <c r="BZ267" s="161"/>
      <c r="CA267" s="161"/>
      <c r="CB267" s="161"/>
      <c r="CC267" s="161"/>
      <c r="CD267" s="161"/>
      <c r="CE267" s="161"/>
      <c r="CF267" s="161"/>
      <c r="CG267" s="161"/>
      <c r="CH267" s="161"/>
      <c r="CI267" s="161"/>
      <c r="CJ267" s="161"/>
      <c r="CK267" s="161"/>
      <c r="CL267" s="161"/>
      <c r="CM267" s="161"/>
      <c r="CN267" s="161"/>
      <c r="CO267" s="161"/>
      <c r="CP267" s="161"/>
      <c r="CQ267" s="161"/>
      <c r="CR267" s="161"/>
      <c r="CS267" s="161"/>
      <c r="CT267" s="161"/>
      <c r="CU267" s="161"/>
      <c r="CV267" s="161"/>
      <c r="CW267" s="161"/>
      <c r="CX267" s="161"/>
      <c r="CY267" s="161"/>
      <c r="CZ267" s="161"/>
      <c r="DA267" s="161"/>
      <c r="DB267" s="161"/>
      <c r="DC267" s="161"/>
      <c r="DD267" s="161"/>
      <c r="DE267" s="161"/>
      <c r="DF267" s="161"/>
      <c r="DG267" s="161"/>
      <c r="DH267" s="161"/>
      <c r="DI267" s="161"/>
      <c r="DJ267" s="161"/>
      <c r="DK267" s="161"/>
      <c r="DL267" s="161"/>
      <c r="DM267" s="161"/>
      <c r="DN267" s="161"/>
      <c r="DO267" s="161"/>
      <c r="DP267" s="161"/>
      <c r="DQ267" s="161"/>
      <c r="DR267" s="161"/>
      <c r="DS267" s="161"/>
      <c r="DT267" s="161"/>
      <c r="DU267" s="161"/>
      <c r="DV267" s="161"/>
      <c r="DW267" s="161"/>
      <c r="DX267" s="161"/>
      <c r="DY267" s="161"/>
      <c r="DZ267" s="161"/>
      <c r="EA267" s="161"/>
      <c r="EB267" s="174"/>
    </row>
    <row r="268" spans="67:132">
      <c r="BO268" s="161"/>
      <c r="BP268" s="161"/>
      <c r="BQ268" s="161"/>
      <c r="BR268" s="161"/>
      <c r="BS268" s="161"/>
      <c r="BT268" s="161"/>
      <c r="BU268" s="161"/>
      <c r="BV268" s="161"/>
      <c r="BW268" s="161"/>
      <c r="BX268" s="161"/>
      <c r="BY268" s="161"/>
      <c r="BZ268" s="161"/>
      <c r="CA268" s="161"/>
      <c r="CB268" s="161"/>
      <c r="CC268" s="161"/>
      <c r="CD268" s="161"/>
      <c r="CE268" s="161"/>
      <c r="CF268" s="161"/>
      <c r="CG268" s="161"/>
      <c r="CH268" s="161"/>
      <c r="CI268" s="161"/>
      <c r="CJ268" s="161"/>
      <c r="CK268" s="161"/>
      <c r="CL268" s="161"/>
      <c r="CM268" s="161"/>
      <c r="CN268" s="161"/>
      <c r="CO268" s="161"/>
      <c r="CP268" s="161"/>
      <c r="CQ268" s="161"/>
      <c r="CR268" s="161"/>
      <c r="CS268" s="161"/>
      <c r="CT268" s="161"/>
      <c r="CU268" s="161"/>
      <c r="CV268" s="161"/>
      <c r="CW268" s="161"/>
      <c r="CX268" s="161"/>
      <c r="CY268" s="161"/>
      <c r="CZ268" s="161"/>
      <c r="DA268" s="161"/>
      <c r="DB268" s="161"/>
      <c r="DC268" s="161"/>
      <c r="DD268" s="161"/>
      <c r="DE268" s="161"/>
      <c r="DF268" s="161"/>
      <c r="DG268" s="161"/>
      <c r="DH268" s="161"/>
      <c r="DI268" s="161"/>
      <c r="DJ268" s="161"/>
      <c r="DK268" s="161"/>
      <c r="DL268" s="161"/>
      <c r="DM268" s="161"/>
      <c r="DN268" s="161"/>
      <c r="DO268" s="161"/>
      <c r="DP268" s="161"/>
      <c r="DQ268" s="161"/>
      <c r="DR268" s="161"/>
      <c r="DS268" s="161"/>
      <c r="DT268" s="161"/>
      <c r="DU268" s="161"/>
      <c r="DV268" s="161"/>
      <c r="DW268" s="161"/>
      <c r="DX268" s="161"/>
      <c r="DY268" s="161"/>
      <c r="DZ268" s="161"/>
      <c r="EA268" s="161"/>
      <c r="EB268" s="174"/>
    </row>
    <row r="269" spans="67:132">
      <c r="BO269" s="161"/>
      <c r="BP269" s="161"/>
      <c r="BQ269" s="161"/>
      <c r="BR269" s="161"/>
      <c r="BS269" s="161"/>
      <c r="BT269" s="161"/>
      <c r="BU269" s="161"/>
      <c r="BV269" s="161"/>
      <c r="BW269" s="161"/>
      <c r="BX269" s="161"/>
      <c r="BY269" s="161"/>
      <c r="BZ269" s="161"/>
      <c r="CA269" s="161"/>
      <c r="CB269" s="161"/>
      <c r="CC269" s="161"/>
      <c r="CD269" s="161"/>
      <c r="CE269" s="161"/>
      <c r="CF269" s="161"/>
      <c r="CG269" s="161"/>
      <c r="CH269" s="161"/>
      <c r="CI269" s="161"/>
      <c r="CJ269" s="161"/>
      <c r="CK269" s="161"/>
      <c r="CL269" s="161"/>
      <c r="CM269" s="161"/>
      <c r="CN269" s="161"/>
      <c r="CO269" s="161"/>
      <c r="CP269" s="161"/>
      <c r="CQ269" s="161"/>
      <c r="CR269" s="161"/>
      <c r="CS269" s="161"/>
      <c r="CT269" s="161"/>
      <c r="CU269" s="161"/>
      <c r="CV269" s="161"/>
      <c r="CW269" s="161"/>
      <c r="CX269" s="161"/>
      <c r="CY269" s="161"/>
      <c r="CZ269" s="161"/>
      <c r="DA269" s="161"/>
      <c r="DB269" s="161"/>
      <c r="DC269" s="161"/>
      <c r="DD269" s="161"/>
      <c r="DE269" s="161"/>
      <c r="DF269" s="161"/>
      <c r="DG269" s="161"/>
      <c r="DH269" s="161"/>
      <c r="DI269" s="161"/>
      <c r="DJ269" s="161"/>
      <c r="DK269" s="161"/>
      <c r="DL269" s="161"/>
      <c r="DM269" s="161"/>
      <c r="DN269" s="161"/>
      <c r="DO269" s="161"/>
      <c r="DP269" s="161"/>
      <c r="DQ269" s="161"/>
      <c r="DR269" s="161"/>
      <c r="DS269" s="161"/>
      <c r="DT269" s="161"/>
      <c r="DU269" s="161"/>
      <c r="DV269" s="161"/>
      <c r="DW269" s="161"/>
      <c r="DX269" s="161"/>
      <c r="DY269" s="161"/>
      <c r="DZ269" s="161"/>
      <c r="EA269" s="161"/>
      <c r="EB269" s="174"/>
    </row>
    <row r="270" spans="67:132">
      <c r="BO270" s="161"/>
      <c r="BP270" s="161"/>
      <c r="BQ270" s="161"/>
      <c r="BR270" s="161"/>
      <c r="BS270" s="161"/>
      <c r="BT270" s="161"/>
      <c r="BU270" s="161"/>
      <c r="BV270" s="161"/>
      <c r="BW270" s="161"/>
      <c r="BX270" s="161"/>
      <c r="BY270" s="161"/>
      <c r="BZ270" s="161"/>
      <c r="CA270" s="161"/>
      <c r="CB270" s="161"/>
      <c r="CC270" s="161"/>
      <c r="CD270" s="161"/>
      <c r="CE270" s="161"/>
      <c r="CF270" s="161"/>
      <c r="CG270" s="161"/>
      <c r="CH270" s="161"/>
      <c r="CI270" s="161"/>
      <c r="CJ270" s="161"/>
      <c r="CK270" s="161"/>
      <c r="CL270" s="161"/>
      <c r="CM270" s="161"/>
      <c r="CN270" s="161"/>
      <c r="CO270" s="161"/>
      <c r="CP270" s="161"/>
      <c r="CQ270" s="161"/>
      <c r="CR270" s="161"/>
      <c r="CS270" s="161"/>
      <c r="CT270" s="161"/>
      <c r="CU270" s="161"/>
      <c r="CV270" s="161"/>
      <c r="CW270" s="161"/>
      <c r="CX270" s="161"/>
      <c r="CY270" s="161"/>
      <c r="CZ270" s="161"/>
      <c r="DA270" s="161"/>
      <c r="DB270" s="161"/>
      <c r="DC270" s="161"/>
      <c r="DD270" s="161"/>
      <c r="DE270" s="161"/>
      <c r="DF270" s="161"/>
      <c r="DG270" s="161"/>
      <c r="DH270" s="161"/>
      <c r="DI270" s="161"/>
      <c r="DJ270" s="161"/>
      <c r="DK270" s="161"/>
      <c r="DL270" s="161"/>
      <c r="DM270" s="161"/>
      <c r="DN270" s="161"/>
      <c r="DO270" s="161"/>
      <c r="DP270" s="161"/>
      <c r="DQ270" s="161"/>
      <c r="DR270" s="161"/>
      <c r="DS270" s="161"/>
      <c r="DT270" s="161"/>
      <c r="DU270" s="161"/>
      <c r="DV270" s="161"/>
      <c r="DW270" s="161"/>
      <c r="DX270" s="161"/>
      <c r="DY270" s="161"/>
      <c r="DZ270" s="161"/>
      <c r="EA270" s="161"/>
      <c r="EB270" s="174"/>
    </row>
    <row r="271" spans="67:132">
      <c r="BO271" s="161"/>
      <c r="BP271" s="161"/>
      <c r="BQ271" s="161"/>
      <c r="BR271" s="161"/>
      <c r="BS271" s="161"/>
      <c r="BT271" s="161"/>
      <c r="BU271" s="161"/>
      <c r="BV271" s="161"/>
      <c r="BW271" s="161"/>
      <c r="BX271" s="161"/>
      <c r="BY271" s="161"/>
      <c r="BZ271" s="161"/>
      <c r="CA271" s="161"/>
      <c r="CB271" s="161"/>
      <c r="CC271" s="161"/>
      <c r="CD271" s="161"/>
      <c r="CE271" s="161"/>
      <c r="CF271" s="161"/>
      <c r="CG271" s="161"/>
      <c r="CH271" s="161"/>
      <c r="CI271" s="161"/>
      <c r="CJ271" s="161"/>
      <c r="CK271" s="161"/>
      <c r="CL271" s="161"/>
      <c r="CM271" s="161"/>
      <c r="CN271" s="161"/>
      <c r="CO271" s="161"/>
      <c r="CP271" s="161"/>
      <c r="CQ271" s="161"/>
      <c r="CR271" s="161"/>
      <c r="CS271" s="161"/>
      <c r="CT271" s="161"/>
      <c r="CU271" s="161"/>
      <c r="CV271" s="161"/>
      <c r="CW271" s="161"/>
      <c r="CX271" s="161"/>
      <c r="CY271" s="161"/>
      <c r="CZ271" s="161"/>
      <c r="DA271" s="161"/>
      <c r="DB271" s="161"/>
      <c r="DC271" s="161"/>
      <c r="DD271" s="161"/>
      <c r="DE271" s="161"/>
      <c r="DF271" s="161"/>
      <c r="DG271" s="161"/>
      <c r="DH271" s="161"/>
      <c r="DI271" s="161"/>
      <c r="DJ271" s="161"/>
      <c r="DK271" s="161"/>
      <c r="DL271" s="161"/>
      <c r="DM271" s="161"/>
      <c r="DN271" s="161"/>
      <c r="DO271" s="161"/>
      <c r="DP271" s="161"/>
      <c r="DQ271" s="161"/>
      <c r="DR271" s="161"/>
      <c r="DS271" s="161"/>
      <c r="DT271" s="161"/>
      <c r="DU271" s="161"/>
      <c r="DV271" s="161"/>
      <c r="DW271" s="161"/>
      <c r="DX271" s="161"/>
      <c r="DY271" s="161"/>
      <c r="DZ271" s="161"/>
      <c r="EA271" s="161"/>
      <c r="EB271" s="174"/>
    </row>
    <row r="272" spans="67:132">
      <c r="BO272" s="161"/>
      <c r="BP272" s="161"/>
      <c r="BQ272" s="161"/>
      <c r="BR272" s="161"/>
      <c r="BS272" s="161"/>
      <c r="BT272" s="161"/>
      <c r="BU272" s="161"/>
      <c r="BV272" s="161"/>
      <c r="BW272" s="161"/>
      <c r="BX272" s="161"/>
      <c r="BY272" s="161"/>
      <c r="BZ272" s="161"/>
      <c r="CA272" s="161"/>
      <c r="CB272" s="161"/>
      <c r="CC272" s="161"/>
      <c r="CD272" s="161"/>
      <c r="CE272" s="161"/>
      <c r="CF272" s="161"/>
      <c r="CG272" s="161"/>
      <c r="CH272" s="161"/>
      <c r="CI272" s="161"/>
      <c r="CJ272" s="161"/>
      <c r="CK272" s="161"/>
      <c r="CL272" s="161"/>
      <c r="CM272" s="161"/>
      <c r="CN272" s="161"/>
      <c r="CO272" s="161"/>
      <c r="CP272" s="161"/>
      <c r="CQ272" s="161"/>
      <c r="CR272" s="161"/>
      <c r="CS272" s="161"/>
      <c r="CT272" s="161"/>
      <c r="CU272" s="161"/>
      <c r="CV272" s="161"/>
      <c r="CW272" s="161"/>
      <c r="CX272" s="161"/>
      <c r="CY272" s="161"/>
      <c r="CZ272" s="161"/>
      <c r="DA272" s="161"/>
      <c r="DB272" s="161"/>
      <c r="DC272" s="161"/>
      <c r="DD272" s="161"/>
      <c r="DE272" s="161"/>
      <c r="DF272" s="161"/>
      <c r="DG272" s="161"/>
      <c r="DH272" s="161"/>
      <c r="DI272" s="161"/>
      <c r="DJ272" s="161"/>
      <c r="DK272" s="161"/>
      <c r="DL272" s="161"/>
      <c r="DM272" s="161"/>
      <c r="DN272" s="161"/>
      <c r="DO272" s="161"/>
      <c r="DP272" s="161"/>
      <c r="DQ272" s="161"/>
      <c r="DR272" s="161"/>
      <c r="DS272" s="161"/>
      <c r="DT272" s="161"/>
      <c r="DU272" s="161"/>
      <c r="DV272" s="161"/>
      <c r="DW272" s="161"/>
      <c r="DX272" s="161"/>
      <c r="DY272" s="161"/>
      <c r="DZ272" s="161"/>
      <c r="EA272" s="161"/>
      <c r="EB272" s="174"/>
    </row>
    <row r="273" spans="67:132">
      <c r="BO273" s="161"/>
      <c r="BP273" s="161"/>
      <c r="BQ273" s="161"/>
      <c r="BR273" s="161"/>
      <c r="BS273" s="161"/>
      <c r="BT273" s="161"/>
      <c r="BU273" s="161"/>
      <c r="BV273" s="161"/>
      <c r="BW273" s="161"/>
      <c r="BX273" s="161"/>
      <c r="BY273" s="161"/>
      <c r="BZ273" s="161"/>
      <c r="CA273" s="161"/>
      <c r="CB273" s="161"/>
      <c r="CC273" s="161"/>
      <c r="CD273" s="161"/>
      <c r="CE273" s="161"/>
      <c r="CF273" s="161"/>
      <c r="CG273" s="161"/>
      <c r="CH273" s="161"/>
      <c r="CI273" s="161"/>
      <c r="CJ273" s="161"/>
      <c r="CK273" s="161"/>
      <c r="CL273" s="161"/>
      <c r="CM273" s="161"/>
      <c r="CN273" s="161"/>
      <c r="CO273" s="161"/>
      <c r="CP273" s="161"/>
      <c r="CQ273" s="161"/>
      <c r="CR273" s="161"/>
      <c r="CS273" s="161"/>
      <c r="CT273" s="161"/>
      <c r="CU273" s="161"/>
      <c r="CV273" s="161"/>
      <c r="CW273" s="161"/>
      <c r="CX273" s="161"/>
      <c r="CY273" s="161"/>
      <c r="CZ273" s="161"/>
      <c r="DA273" s="161"/>
      <c r="DB273" s="161"/>
      <c r="DC273" s="161"/>
      <c r="DD273" s="161"/>
      <c r="DE273" s="161"/>
      <c r="DF273" s="161"/>
      <c r="DG273" s="161"/>
      <c r="DH273" s="161"/>
      <c r="DI273" s="161"/>
      <c r="DJ273" s="161"/>
      <c r="DK273" s="161"/>
      <c r="DL273" s="161"/>
      <c r="DM273" s="161"/>
      <c r="DN273" s="161"/>
      <c r="DO273" s="161"/>
      <c r="DP273" s="161"/>
      <c r="DQ273" s="161"/>
      <c r="DR273" s="161"/>
      <c r="DS273" s="161"/>
      <c r="DT273" s="161"/>
      <c r="DU273" s="161"/>
      <c r="DV273" s="161"/>
      <c r="DW273" s="161"/>
      <c r="DX273" s="161"/>
      <c r="DY273" s="161"/>
      <c r="DZ273" s="161"/>
      <c r="EA273" s="161"/>
      <c r="EB273" s="174"/>
    </row>
    <row r="274" spans="67:132">
      <c r="BO274" s="161"/>
      <c r="BP274" s="161"/>
      <c r="BQ274" s="161"/>
      <c r="BR274" s="161"/>
      <c r="BS274" s="161"/>
      <c r="BT274" s="161"/>
      <c r="BU274" s="161"/>
      <c r="BV274" s="161"/>
      <c r="BW274" s="161"/>
      <c r="BX274" s="161"/>
      <c r="BY274" s="161"/>
      <c r="BZ274" s="161"/>
      <c r="CA274" s="161"/>
      <c r="CB274" s="161"/>
      <c r="CC274" s="161"/>
      <c r="CD274" s="161"/>
      <c r="CE274" s="161"/>
      <c r="CF274" s="161"/>
      <c r="CG274" s="161"/>
      <c r="CH274" s="161"/>
      <c r="CI274" s="161"/>
      <c r="CJ274" s="161"/>
      <c r="CK274" s="161"/>
      <c r="CL274" s="161"/>
      <c r="CM274" s="161"/>
      <c r="CN274" s="161"/>
      <c r="CO274" s="161"/>
      <c r="CP274" s="161"/>
      <c r="CQ274" s="161"/>
      <c r="CR274" s="161"/>
      <c r="CS274" s="161"/>
      <c r="CT274" s="161"/>
      <c r="CU274" s="161"/>
      <c r="CV274" s="161"/>
      <c r="CW274" s="161"/>
      <c r="CX274" s="161"/>
      <c r="CY274" s="161"/>
      <c r="CZ274" s="161"/>
      <c r="DA274" s="161"/>
      <c r="DB274" s="161"/>
      <c r="DC274" s="161"/>
      <c r="DD274" s="161"/>
      <c r="DE274" s="161"/>
      <c r="DF274" s="161"/>
      <c r="DG274" s="161"/>
      <c r="DH274" s="161"/>
      <c r="DI274" s="161"/>
      <c r="DJ274" s="161"/>
      <c r="DK274" s="161"/>
      <c r="DL274" s="161"/>
      <c r="DM274" s="161"/>
      <c r="DN274" s="161"/>
      <c r="DO274" s="161"/>
      <c r="DP274" s="161"/>
      <c r="DQ274" s="161"/>
      <c r="DR274" s="161"/>
      <c r="DS274" s="161"/>
      <c r="DT274" s="161"/>
      <c r="DU274" s="161"/>
      <c r="DV274" s="161"/>
      <c r="DW274" s="161"/>
      <c r="DX274" s="161"/>
      <c r="DY274" s="161"/>
      <c r="DZ274" s="161"/>
      <c r="EA274" s="161"/>
      <c r="EB274" s="174"/>
    </row>
    <row r="275" spans="67:132">
      <c r="BO275" s="161"/>
      <c r="BP275" s="161"/>
      <c r="BQ275" s="161"/>
      <c r="BR275" s="161"/>
      <c r="BS275" s="161"/>
      <c r="BT275" s="161"/>
      <c r="BU275" s="161"/>
      <c r="BV275" s="161"/>
      <c r="BW275" s="161"/>
      <c r="BX275" s="161"/>
      <c r="BY275" s="161"/>
      <c r="BZ275" s="161"/>
      <c r="CA275" s="161"/>
      <c r="CB275" s="161"/>
      <c r="CC275" s="161"/>
      <c r="CD275" s="161"/>
      <c r="CE275" s="161"/>
      <c r="CF275" s="161"/>
      <c r="CG275" s="161"/>
      <c r="CH275" s="161"/>
      <c r="CI275" s="161"/>
      <c r="CJ275" s="161"/>
      <c r="CK275" s="161"/>
      <c r="CL275" s="161"/>
      <c r="CM275" s="161"/>
      <c r="CN275" s="161"/>
      <c r="CO275" s="161"/>
      <c r="CP275" s="161"/>
      <c r="CQ275" s="161"/>
      <c r="CR275" s="161"/>
      <c r="CS275" s="161"/>
      <c r="CT275" s="161"/>
      <c r="CU275" s="161"/>
      <c r="CV275" s="161"/>
      <c r="CW275" s="161"/>
      <c r="CX275" s="161"/>
      <c r="CY275" s="161"/>
      <c r="CZ275" s="161"/>
      <c r="DA275" s="161"/>
      <c r="DB275" s="161"/>
      <c r="DC275" s="161"/>
      <c r="DD275" s="161"/>
      <c r="DE275" s="161"/>
      <c r="DF275" s="161"/>
      <c r="DG275" s="161"/>
      <c r="DH275" s="161"/>
      <c r="DI275" s="161"/>
      <c r="DJ275" s="161"/>
      <c r="DK275" s="161"/>
      <c r="DL275" s="161"/>
      <c r="DM275" s="161"/>
      <c r="DN275" s="161"/>
      <c r="DO275" s="161"/>
      <c r="DP275" s="161"/>
      <c r="DQ275" s="161"/>
      <c r="DR275" s="161"/>
      <c r="DS275" s="161"/>
      <c r="DT275" s="161"/>
      <c r="DU275" s="161"/>
      <c r="DV275" s="161"/>
      <c r="DW275" s="161"/>
      <c r="DX275" s="161"/>
      <c r="DY275" s="161"/>
      <c r="DZ275" s="161"/>
      <c r="EA275" s="161"/>
      <c r="EB275" s="174"/>
    </row>
    <row r="276" spans="67:132">
      <c r="BO276" s="161"/>
      <c r="BP276" s="161"/>
      <c r="BQ276" s="161"/>
      <c r="BR276" s="161"/>
      <c r="BS276" s="161"/>
      <c r="BT276" s="161"/>
      <c r="BU276" s="161"/>
      <c r="BV276" s="161"/>
      <c r="BW276" s="161"/>
      <c r="BX276" s="161"/>
      <c r="BY276" s="161"/>
      <c r="BZ276" s="161"/>
      <c r="CA276" s="161"/>
      <c r="CB276" s="161"/>
      <c r="CC276" s="161"/>
      <c r="CD276" s="161"/>
      <c r="CE276" s="161"/>
      <c r="CF276" s="161"/>
      <c r="CG276" s="161"/>
      <c r="CH276" s="161"/>
      <c r="CI276" s="161"/>
      <c r="CJ276" s="161"/>
      <c r="CK276" s="161"/>
      <c r="CL276" s="161"/>
      <c r="CM276" s="161"/>
      <c r="CN276" s="161"/>
      <c r="CO276" s="161"/>
      <c r="CP276" s="161"/>
      <c r="CQ276" s="161"/>
      <c r="CR276" s="161"/>
      <c r="CS276" s="161"/>
      <c r="CT276" s="161"/>
      <c r="CU276" s="161"/>
      <c r="CV276" s="161"/>
      <c r="CW276" s="161"/>
      <c r="CX276" s="161"/>
      <c r="CY276" s="161"/>
      <c r="CZ276" s="161"/>
      <c r="DA276" s="161"/>
      <c r="DB276" s="161"/>
      <c r="DC276" s="161"/>
      <c r="DD276" s="161"/>
      <c r="DE276" s="161"/>
      <c r="DF276" s="161"/>
      <c r="DG276" s="161"/>
      <c r="DH276" s="161"/>
      <c r="DI276" s="161"/>
      <c r="DJ276" s="161"/>
      <c r="DK276" s="161"/>
      <c r="DL276" s="161"/>
      <c r="DM276" s="161"/>
      <c r="DN276" s="161"/>
      <c r="DO276" s="161"/>
      <c r="DP276" s="161"/>
      <c r="DQ276" s="161"/>
      <c r="DR276" s="161"/>
      <c r="DS276" s="161"/>
      <c r="DT276" s="161"/>
      <c r="DU276" s="161"/>
      <c r="DV276" s="161"/>
      <c r="DW276" s="161"/>
      <c r="DX276" s="161"/>
      <c r="DY276" s="161"/>
      <c r="DZ276" s="161"/>
      <c r="EA276" s="161"/>
      <c r="EB276" s="174"/>
    </row>
    <row r="277" spans="67:132">
      <c r="BO277" s="161"/>
      <c r="BP277" s="161"/>
      <c r="BQ277" s="161"/>
      <c r="BR277" s="161"/>
      <c r="BS277" s="161"/>
      <c r="BT277" s="161"/>
      <c r="BU277" s="161"/>
      <c r="BV277" s="161"/>
      <c r="BW277" s="161"/>
      <c r="BX277" s="161"/>
      <c r="BY277" s="161"/>
      <c r="BZ277" s="161"/>
      <c r="CA277" s="161"/>
      <c r="CB277" s="161"/>
      <c r="CC277" s="161"/>
      <c r="CD277" s="161"/>
      <c r="CE277" s="161"/>
      <c r="CF277" s="161"/>
      <c r="CG277" s="161"/>
      <c r="CH277" s="161"/>
      <c r="CI277" s="161"/>
      <c r="CJ277" s="161"/>
      <c r="CK277" s="161"/>
      <c r="CL277" s="161"/>
      <c r="CM277" s="161"/>
      <c r="CN277" s="161"/>
      <c r="CO277" s="161"/>
      <c r="CP277" s="161"/>
      <c r="CQ277" s="161"/>
      <c r="CR277" s="161"/>
      <c r="CS277" s="161"/>
      <c r="CT277" s="161"/>
      <c r="CU277" s="161"/>
      <c r="CV277" s="161"/>
      <c r="CW277" s="161"/>
      <c r="CX277" s="161"/>
      <c r="CY277" s="161"/>
      <c r="CZ277" s="161"/>
      <c r="DA277" s="161"/>
      <c r="DB277" s="161"/>
      <c r="DC277" s="161"/>
      <c r="DD277" s="161"/>
      <c r="DE277" s="161"/>
      <c r="DF277" s="161"/>
      <c r="DG277" s="161"/>
      <c r="DH277" s="161"/>
      <c r="DI277" s="161"/>
      <c r="DJ277" s="161"/>
      <c r="DK277" s="161"/>
      <c r="DL277" s="161"/>
      <c r="DM277" s="161"/>
      <c r="DN277" s="161"/>
      <c r="DO277" s="161"/>
      <c r="DP277" s="161"/>
      <c r="DQ277" s="161"/>
      <c r="DR277" s="161"/>
      <c r="DS277" s="161"/>
      <c r="DT277" s="161"/>
      <c r="DU277" s="161"/>
      <c r="DV277" s="161"/>
      <c r="DW277" s="161"/>
      <c r="DX277" s="161"/>
      <c r="DY277" s="161"/>
      <c r="DZ277" s="161"/>
      <c r="EA277" s="161"/>
      <c r="EB277" s="174"/>
    </row>
    <row r="278" spans="67:132">
      <c r="BO278" s="161"/>
      <c r="BP278" s="161"/>
      <c r="BQ278" s="161"/>
      <c r="BR278" s="161"/>
      <c r="BS278" s="161"/>
      <c r="BT278" s="161"/>
      <c r="BU278" s="161"/>
      <c r="BV278" s="161"/>
      <c r="BW278" s="161"/>
      <c r="BX278" s="161"/>
      <c r="BY278" s="161"/>
      <c r="BZ278" s="161"/>
      <c r="CA278" s="161"/>
      <c r="CB278" s="161"/>
      <c r="CC278" s="161"/>
      <c r="CD278" s="161"/>
      <c r="CE278" s="161"/>
      <c r="CF278" s="161"/>
      <c r="CG278" s="161"/>
      <c r="CH278" s="161"/>
      <c r="CI278" s="161"/>
      <c r="CJ278" s="161"/>
      <c r="CK278" s="161"/>
      <c r="CL278" s="161"/>
      <c r="CM278" s="161"/>
      <c r="CN278" s="161"/>
      <c r="CO278" s="161"/>
      <c r="CP278" s="161"/>
      <c r="CQ278" s="161"/>
      <c r="CR278" s="161"/>
      <c r="CS278" s="161"/>
      <c r="CT278" s="161"/>
      <c r="CU278" s="161"/>
      <c r="CV278" s="161"/>
      <c r="CW278" s="161"/>
      <c r="CX278" s="161"/>
      <c r="CY278" s="161"/>
      <c r="CZ278" s="161"/>
      <c r="DA278" s="161"/>
      <c r="DB278" s="161"/>
      <c r="DC278" s="161"/>
      <c r="DD278" s="161"/>
      <c r="DE278" s="161"/>
      <c r="DF278" s="161"/>
      <c r="DG278" s="161"/>
      <c r="DH278" s="161"/>
      <c r="DI278" s="161"/>
      <c r="DJ278" s="161"/>
      <c r="DK278" s="161"/>
      <c r="DL278" s="161"/>
      <c r="DM278" s="161"/>
      <c r="DN278" s="161"/>
      <c r="DO278" s="161"/>
      <c r="DP278" s="161"/>
      <c r="DQ278" s="161"/>
      <c r="DR278" s="161"/>
      <c r="DS278" s="161"/>
      <c r="DT278" s="161"/>
      <c r="DU278" s="161"/>
      <c r="DV278" s="161"/>
      <c r="DW278" s="161"/>
      <c r="DX278" s="161"/>
      <c r="DY278" s="161"/>
      <c r="DZ278" s="161"/>
      <c r="EA278" s="161"/>
      <c r="EB278" s="174"/>
    </row>
    <row r="279" spans="67:132">
      <c r="BO279" s="161"/>
      <c r="BP279" s="161"/>
      <c r="BQ279" s="161"/>
      <c r="BR279" s="161"/>
      <c r="BS279" s="161"/>
      <c r="BT279" s="161"/>
      <c r="BU279" s="161"/>
      <c r="BV279" s="161"/>
      <c r="BW279" s="161"/>
      <c r="BX279" s="161"/>
      <c r="BY279" s="161"/>
      <c r="BZ279" s="161"/>
      <c r="CA279" s="161"/>
      <c r="CB279" s="161"/>
      <c r="CC279" s="161"/>
      <c r="CD279" s="161"/>
      <c r="CE279" s="161"/>
      <c r="CF279" s="161"/>
      <c r="CG279" s="161"/>
      <c r="CH279" s="161"/>
      <c r="CI279" s="161"/>
      <c r="CJ279" s="161"/>
      <c r="CK279" s="161"/>
      <c r="CL279" s="161"/>
      <c r="CM279" s="161"/>
      <c r="CN279" s="161"/>
      <c r="CO279" s="161"/>
      <c r="CP279" s="161"/>
      <c r="CQ279" s="161"/>
      <c r="CR279" s="161"/>
      <c r="CS279" s="161"/>
      <c r="CT279" s="161"/>
      <c r="CU279" s="161"/>
      <c r="CV279" s="161"/>
      <c r="CW279" s="161"/>
      <c r="CX279" s="161"/>
      <c r="CY279" s="161"/>
      <c r="CZ279" s="161"/>
      <c r="DA279" s="161"/>
      <c r="DB279" s="161"/>
      <c r="DC279" s="161"/>
      <c r="DD279" s="161"/>
      <c r="DE279" s="161"/>
      <c r="DF279" s="161"/>
      <c r="DG279" s="161"/>
      <c r="DH279" s="161"/>
      <c r="DI279" s="161"/>
      <c r="DJ279" s="161"/>
      <c r="DK279" s="161"/>
      <c r="DL279" s="161"/>
      <c r="DM279" s="161"/>
      <c r="DN279" s="161"/>
      <c r="DO279" s="161"/>
      <c r="DP279" s="161"/>
      <c r="DQ279" s="161"/>
      <c r="DR279" s="161"/>
      <c r="DS279" s="161"/>
      <c r="DT279" s="161"/>
      <c r="DU279" s="161"/>
      <c r="DV279" s="161"/>
      <c r="DW279" s="161"/>
      <c r="DX279" s="161"/>
      <c r="DY279" s="161"/>
      <c r="DZ279" s="161"/>
      <c r="EA279" s="161"/>
      <c r="EB279" s="174"/>
    </row>
    <row r="280" spans="67:132">
      <c r="BO280" s="161"/>
      <c r="BP280" s="161"/>
      <c r="BQ280" s="161"/>
      <c r="BR280" s="161"/>
      <c r="BS280" s="161"/>
      <c r="BT280" s="161"/>
      <c r="BU280" s="161"/>
      <c r="BV280" s="161"/>
      <c r="BW280" s="161"/>
      <c r="BX280" s="161"/>
      <c r="BY280" s="161"/>
      <c r="BZ280" s="161"/>
      <c r="CA280" s="161"/>
      <c r="CB280" s="161"/>
      <c r="CC280" s="161"/>
      <c r="CD280" s="161"/>
      <c r="CE280" s="161"/>
      <c r="CF280" s="161"/>
      <c r="CG280" s="161"/>
      <c r="CH280" s="161"/>
      <c r="CI280" s="161"/>
      <c r="CJ280" s="161"/>
      <c r="CK280" s="161"/>
      <c r="CL280" s="161"/>
      <c r="CM280" s="161"/>
      <c r="CN280" s="161"/>
      <c r="CO280" s="161"/>
      <c r="CP280" s="161"/>
      <c r="CQ280" s="161"/>
      <c r="CR280" s="161"/>
      <c r="CS280" s="161"/>
      <c r="CT280" s="161"/>
      <c r="CU280" s="161"/>
      <c r="CV280" s="161"/>
      <c r="CW280" s="161"/>
      <c r="CX280" s="161"/>
      <c r="CY280" s="161"/>
      <c r="CZ280" s="161"/>
      <c r="DA280" s="161"/>
      <c r="DB280" s="161"/>
      <c r="DC280" s="161"/>
      <c r="DD280" s="161"/>
      <c r="DE280" s="161"/>
      <c r="DF280" s="161"/>
      <c r="DG280" s="161"/>
      <c r="DH280" s="161"/>
      <c r="DI280" s="161"/>
      <c r="DJ280" s="161"/>
      <c r="DK280" s="161"/>
      <c r="DL280" s="161"/>
      <c r="DM280" s="161"/>
      <c r="DN280" s="161"/>
      <c r="DO280" s="161"/>
      <c r="DP280" s="161"/>
      <c r="DQ280" s="161"/>
      <c r="DR280" s="161"/>
      <c r="DS280" s="161"/>
      <c r="DT280" s="161"/>
      <c r="DU280" s="161"/>
      <c r="DV280" s="161"/>
      <c r="DW280" s="161"/>
      <c r="DX280" s="161"/>
      <c r="DY280" s="161"/>
      <c r="DZ280" s="161"/>
      <c r="EA280" s="161"/>
      <c r="EB280" s="174"/>
    </row>
    <row r="281" spans="67:132">
      <c r="BO281" s="161"/>
      <c r="BP281" s="161"/>
      <c r="BQ281" s="161"/>
      <c r="BR281" s="161"/>
      <c r="BS281" s="161"/>
      <c r="BT281" s="161"/>
      <c r="BU281" s="161"/>
      <c r="BV281" s="161"/>
      <c r="BW281" s="161"/>
      <c r="BX281" s="161"/>
      <c r="BY281" s="161"/>
      <c r="BZ281" s="161"/>
      <c r="CA281" s="161"/>
      <c r="CB281" s="161"/>
      <c r="CC281" s="161"/>
      <c r="CD281" s="161"/>
      <c r="CE281" s="161"/>
      <c r="CF281" s="161"/>
      <c r="CG281" s="161"/>
      <c r="CH281" s="161"/>
      <c r="CI281" s="161"/>
      <c r="CJ281" s="161"/>
      <c r="CK281" s="161"/>
      <c r="CL281" s="161"/>
      <c r="CM281" s="161"/>
      <c r="CN281" s="161"/>
      <c r="CO281" s="161"/>
      <c r="CP281" s="161"/>
      <c r="CQ281" s="161"/>
      <c r="CR281" s="161"/>
      <c r="CS281" s="161"/>
      <c r="CT281" s="161"/>
      <c r="CU281" s="161"/>
      <c r="CV281" s="161"/>
      <c r="CW281" s="161"/>
      <c r="CX281" s="161"/>
      <c r="CY281" s="161"/>
      <c r="CZ281" s="161"/>
      <c r="DA281" s="161"/>
      <c r="DB281" s="161"/>
      <c r="DC281" s="161"/>
      <c r="DD281" s="161"/>
      <c r="DE281" s="161"/>
      <c r="DF281" s="161"/>
      <c r="DG281" s="161"/>
      <c r="DH281" s="161"/>
      <c r="DI281" s="161"/>
      <c r="DJ281" s="161"/>
      <c r="DK281" s="161"/>
      <c r="DL281" s="161"/>
      <c r="DM281" s="161"/>
      <c r="DN281" s="161"/>
      <c r="DO281" s="161"/>
      <c r="DP281" s="161"/>
      <c r="DQ281" s="161"/>
      <c r="DR281" s="161"/>
      <c r="DS281" s="161"/>
      <c r="DT281" s="161"/>
      <c r="DU281" s="161"/>
      <c r="DV281" s="161"/>
      <c r="DW281" s="161"/>
      <c r="DX281" s="161"/>
      <c r="DY281" s="161"/>
      <c r="DZ281" s="161"/>
      <c r="EA281" s="161"/>
      <c r="EB281" s="174"/>
    </row>
    <row r="282" spans="67:132">
      <c r="BO282" s="161"/>
      <c r="BP282" s="161"/>
      <c r="BQ282" s="161"/>
      <c r="BR282" s="161"/>
      <c r="BS282" s="161"/>
      <c r="BT282" s="161"/>
      <c r="BU282" s="161"/>
      <c r="BV282" s="161"/>
      <c r="BW282" s="161"/>
      <c r="BX282" s="161"/>
      <c r="BY282" s="161"/>
      <c r="BZ282" s="161"/>
      <c r="CA282" s="161"/>
      <c r="CB282" s="161"/>
      <c r="CC282" s="161"/>
      <c r="CD282" s="161"/>
      <c r="CE282" s="161"/>
      <c r="CF282" s="161"/>
      <c r="CG282" s="161"/>
      <c r="CH282" s="161"/>
      <c r="CI282" s="161"/>
      <c r="CJ282" s="161"/>
      <c r="CK282" s="161"/>
      <c r="CL282" s="161"/>
      <c r="CM282" s="161"/>
      <c r="CN282" s="161"/>
      <c r="CO282" s="161"/>
      <c r="CP282" s="161"/>
      <c r="CQ282" s="161"/>
      <c r="CR282" s="161"/>
      <c r="CS282" s="161"/>
      <c r="CT282" s="161"/>
      <c r="CU282" s="161"/>
      <c r="CV282" s="161"/>
      <c r="CW282" s="161"/>
      <c r="CX282" s="161"/>
      <c r="CY282" s="161"/>
      <c r="CZ282" s="161"/>
      <c r="DA282" s="161"/>
      <c r="DB282" s="161"/>
      <c r="DC282" s="161"/>
      <c r="DD282" s="161"/>
      <c r="DE282" s="161"/>
      <c r="DF282" s="161"/>
      <c r="DG282" s="161"/>
      <c r="DH282" s="161"/>
      <c r="DI282" s="161"/>
      <c r="DJ282" s="161"/>
      <c r="DK282" s="161"/>
      <c r="DL282" s="161"/>
      <c r="DM282" s="161"/>
      <c r="DN282" s="161"/>
      <c r="DO282" s="161"/>
      <c r="DP282" s="161"/>
      <c r="DQ282" s="161"/>
      <c r="DR282" s="161"/>
      <c r="DS282" s="161"/>
      <c r="DT282" s="161"/>
      <c r="DU282" s="161"/>
      <c r="DV282" s="161"/>
      <c r="DW282" s="161"/>
      <c r="DX282" s="161"/>
      <c r="DY282" s="161"/>
      <c r="DZ282" s="161"/>
      <c r="EA282" s="161"/>
      <c r="EB282" s="174"/>
    </row>
    <row r="283" spans="67:132">
      <c r="BO283" s="161"/>
      <c r="BP283" s="161"/>
      <c r="BQ283" s="161"/>
      <c r="BR283" s="161"/>
      <c r="BS283" s="161"/>
      <c r="BT283" s="161"/>
      <c r="BU283" s="161"/>
      <c r="BV283" s="161"/>
      <c r="BW283" s="161"/>
      <c r="BX283" s="161"/>
      <c r="BY283" s="161"/>
      <c r="BZ283" s="161"/>
      <c r="CA283" s="161"/>
      <c r="CB283" s="161"/>
      <c r="CC283" s="161"/>
      <c r="CD283" s="161"/>
      <c r="CE283" s="161"/>
      <c r="CF283" s="161"/>
      <c r="CG283" s="161"/>
      <c r="CH283" s="161"/>
      <c r="CI283" s="161"/>
      <c r="CJ283" s="161"/>
      <c r="CK283" s="161"/>
      <c r="CL283" s="161"/>
      <c r="CM283" s="161"/>
      <c r="CN283" s="161"/>
      <c r="CO283" s="161"/>
      <c r="CP283" s="161"/>
      <c r="CQ283" s="161"/>
      <c r="CR283" s="161"/>
      <c r="CS283" s="161"/>
      <c r="CT283" s="161"/>
      <c r="CU283" s="161"/>
      <c r="CV283" s="161"/>
      <c r="CW283" s="161"/>
      <c r="CX283" s="161"/>
      <c r="CY283" s="161"/>
      <c r="CZ283" s="161"/>
      <c r="DA283" s="161"/>
      <c r="DB283" s="161"/>
      <c r="DC283" s="161"/>
      <c r="DD283" s="161"/>
      <c r="DE283" s="161"/>
      <c r="DF283" s="161"/>
      <c r="DG283" s="161"/>
      <c r="DH283" s="161"/>
      <c r="DI283" s="161"/>
      <c r="DJ283" s="161"/>
      <c r="DK283" s="161"/>
      <c r="DL283" s="161"/>
      <c r="DM283" s="161"/>
      <c r="DN283" s="161"/>
      <c r="DO283" s="161"/>
      <c r="DP283" s="161"/>
      <c r="DQ283" s="161"/>
      <c r="DR283" s="161"/>
      <c r="DS283" s="161"/>
      <c r="DT283" s="161"/>
      <c r="DU283" s="161"/>
      <c r="DV283" s="161"/>
      <c r="DW283" s="161"/>
      <c r="DX283" s="161"/>
      <c r="DY283" s="161"/>
      <c r="DZ283" s="161"/>
      <c r="EA283" s="161"/>
      <c r="EB283" s="174"/>
    </row>
    <row r="284" spans="67:132">
      <c r="BO284" s="161"/>
      <c r="BP284" s="161"/>
      <c r="BQ284" s="161"/>
      <c r="BR284" s="161"/>
      <c r="BS284" s="161"/>
      <c r="BT284" s="161"/>
      <c r="BU284" s="161"/>
      <c r="BV284" s="161"/>
      <c r="BW284" s="161"/>
      <c r="BX284" s="161"/>
      <c r="BY284" s="161"/>
      <c r="BZ284" s="161"/>
      <c r="CA284" s="161"/>
      <c r="CB284" s="161"/>
      <c r="CC284" s="161"/>
      <c r="CD284" s="161"/>
      <c r="CE284" s="161"/>
      <c r="CF284" s="161"/>
      <c r="CG284" s="161"/>
      <c r="CH284" s="161"/>
      <c r="CI284" s="161"/>
      <c r="CJ284" s="161"/>
      <c r="CK284" s="161"/>
      <c r="CL284" s="161"/>
      <c r="CM284" s="161"/>
      <c r="CN284" s="161"/>
      <c r="CO284" s="161"/>
      <c r="CP284" s="161"/>
      <c r="CQ284" s="161"/>
      <c r="CR284" s="161"/>
      <c r="CS284" s="161"/>
      <c r="CT284" s="161"/>
      <c r="CU284" s="161"/>
      <c r="CV284" s="161"/>
      <c r="CW284" s="161"/>
      <c r="CX284" s="161"/>
      <c r="CY284" s="161"/>
      <c r="CZ284" s="161"/>
      <c r="DA284" s="161"/>
      <c r="DB284" s="161"/>
      <c r="DC284" s="161"/>
      <c r="DD284" s="161"/>
      <c r="DE284" s="161"/>
      <c r="DF284" s="161"/>
      <c r="DG284" s="161"/>
      <c r="DH284" s="161"/>
      <c r="DI284" s="161"/>
      <c r="DJ284" s="161"/>
      <c r="DK284" s="161"/>
      <c r="DL284" s="161"/>
      <c r="DM284" s="161"/>
      <c r="DN284" s="161"/>
      <c r="DO284" s="161"/>
      <c r="DP284" s="161"/>
      <c r="DQ284" s="161"/>
      <c r="DR284" s="161"/>
      <c r="DS284" s="161"/>
      <c r="DT284" s="161"/>
      <c r="DU284" s="161"/>
      <c r="DV284" s="161"/>
      <c r="DW284" s="161"/>
      <c r="DX284" s="161"/>
      <c r="DY284" s="161"/>
      <c r="DZ284" s="161"/>
      <c r="EA284" s="161"/>
      <c r="EB284" s="174"/>
    </row>
    <row r="285" spans="67:132">
      <c r="BO285" s="161"/>
      <c r="BP285" s="161"/>
      <c r="BQ285" s="161"/>
      <c r="BR285" s="161"/>
      <c r="BS285" s="161"/>
      <c r="BT285" s="161"/>
      <c r="BU285" s="161"/>
      <c r="BV285" s="161"/>
      <c r="BW285" s="161"/>
      <c r="BX285" s="161"/>
      <c r="BY285" s="161"/>
      <c r="BZ285" s="161"/>
      <c r="CA285" s="161"/>
      <c r="CB285" s="161"/>
      <c r="CC285" s="161"/>
      <c r="CD285" s="161"/>
      <c r="CE285" s="161"/>
      <c r="CF285" s="161"/>
      <c r="CG285" s="161"/>
      <c r="CH285" s="161"/>
      <c r="CI285" s="161"/>
      <c r="CJ285" s="161"/>
      <c r="CK285" s="161"/>
      <c r="CL285" s="161"/>
      <c r="CM285" s="161"/>
      <c r="CN285" s="161"/>
      <c r="CO285" s="161"/>
      <c r="CP285" s="161"/>
      <c r="CQ285" s="161"/>
      <c r="CR285" s="161"/>
      <c r="CS285" s="161"/>
      <c r="CT285" s="161"/>
      <c r="CU285" s="161"/>
      <c r="CV285" s="161"/>
      <c r="CW285" s="161"/>
      <c r="CX285" s="161"/>
      <c r="CY285" s="161"/>
      <c r="CZ285" s="161"/>
      <c r="DA285" s="161"/>
      <c r="DB285" s="161"/>
      <c r="DC285" s="161"/>
      <c r="DD285" s="161"/>
      <c r="DE285" s="161"/>
      <c r="DF285" s="161"/>
      <c r="DG285" s="161"/>
      <c r="DH285" s="161"/>
      <c r="DI285" s="161"/>
      <c r="DJ285" s="161"/>
      <c r="DK285" s="161"/>
      <c r="DL285" s="161"/>
      <c r="DM285" s="161"/>
      <c r="DN285" s="161"/>
      <c r="DO285" s="161"/>
      <c r="DP285" s="161"/>
      <c r="DQ285" s="161"/>
      <c r="DR285" s="161"/>
      <c r="DS285" s="161"/>
      <c r="DT285" s="161"/>
      <c r="DU285" s="161"/>
      <c r="DV285" s="161"/>
      <c r="DW285" s="161"/>
      <c r="DX285" s="161"/>
      <c r="DY285" s="161"/>
      <c r="DZ285" s="161"/>
      <c r="EA285" s="161"/>
      <c r="EB285" s="174"/>
    </row>
    <row r="286" spans="67:132">
      <c r="BO286" s="161"/>
      <c r="BP286" s="161"/>
      <c r="BQ286" s="161"/>
      <c r="BR286" s="161"/>
      <c r="BS286" s="161"/>
      <c r="BT286" s="161"/>
      <c r="BU286" s="161"/>
      <c r="BV286" s="161"/>
      <c r="BW286" s="161"/>
      <c r="BX286" s="161"/>
      <c r="BY286" s="161"/>
      <c r="BZ286" s="161"/>
      <c r="CA286" s="161"/>
      <c r="CB286" s="161"/>
      <c r="CC286" s="161"/>
      <c r="CD286" s="161"/>
      <c r="CE286" s="161"/>
      <c r="CF286" s="161"/>
      <c r="CG286" s="161"/>
      <c r="CH286" s="161"/>
      <c r="CI286" s="161"/>
      <c r="CJ286" s="161"/>
      <c r="CK286" s="161"/>
      <c r="CL286" s="161"/>
      <c r="CM286" s="161"/>
      <c r="CN286" s="161"/>
      <c r="CO286" s="161"/>
      <c r="CP286" s="161"/>
      <c r="CQ286" s="161"/>
      <c r="CR286" s="161"/>
      <c r="CS286" s="161"/>
      <c r="CT286" s="161"/>
      <c r="CU286" s="161"/>
      <c r="CV286" s="161"/>
      <c r="CW286" s="161"/>
      <c r="CX286" s="161"/>
      <c r="CY286" s="161"/>
      <c r="CZ286" s="161"/>
      <c r="DA286" s="161"/>
      <c r="DB286" s="161"/>
      <c r="DC286" s="161"/>
      <c r="DD286" s="161"/>
      <c r="DE286" s="161"/>
      <c r="DF286" s="161"/>
      <c r="DG286" s="161"/>
      <c r="DH286" s="161"/>
      <c r="DI286" s="161"/>
      <c r="DJ286" s="161"/>
      <c r="DK286" s="161"/>
      <c r="DL286" s="161"/>
      <c r="DM286" s="161"/>
      <c r="DN286" s="161"/>
      <c r="DO286" s="161"/>
      <c r="DP286" s="161"/>
      <c r="DQ286" s="161"/>
      <c r="DR286" s="161"/>
      <c r="DS286" s="161"/>
      <c r="DT286" s="161"/>
      <c r="DU286" s="161"/>
      <c r="DV286" s="161"/>
      <c r="DW286" s="161"/>
      <c r="DX286" s="161"/>
      <c r="DY286" s="161"/>
      <c r="DZ286" s="161"/>
      <c r="EA286" s="161"/>
      <c r="EB286" s="174"/>
    </row>
    <row r="287" spans="67:132">
      <c r="BO287" s="161"/>
      <c r="BP287" s="161"/>
      <c r="BQ287" s="161"/>
      <c r="BR287" s="161"/>
      <c r="BS287" s="161"/>
      <c r="BT287" s="161"/>
      <c r="BU287" s="161"/>
      <c r="BV287" s="161"/>
      <c r="BW287" s="161"/>
      <c r="BX287" s="161"/>
      <c r="BY287" s="161"/>
      <c r="BZ287" s="161"/>
      <c r="CA287" s="161"/>
      <c r="CB287" s="161"/>
      <c r="CC287" s="161"/>
      <c r="CD287" s="161"/>
      <c r="CE287" s="161"/>
      <c r="CF287" s="161"/>
      <c r="CG287" s="161"/>
      <c r="CH287" s="161"/>
      <c r="CI287" s="161"/>
      <c r="CJ287" s="161"/>
      <c r="CK287" s="161"/>
      <c r="CL287" s="161"/>
      <c r="CM287" s="161"/>
      <c r="CN287" s="161"/>
      <c r="CO287" s="161"/>
      <c r="CP287" s="161"/>
      <c r="CQ287" s="161"/>
      <c r="CR287" s="161"/>
      <c r="CS287" s="161"/>
      <c r="CT287" s="161"/>
      <c r="CU287" s="161"/>
      <c r="CV287" s="161"/>
      <c r="CW287" s="161"/>
      <c r="CX287" s="161"/>
      <c r="CY287" s="161"/>
      <c r="CZ287" s="161"/>
      <c r="DA287" s="161"/>
      <c r="DB287" s="161"/>
      <c r="DC287" s="161"/>
      <c r="DD287" s="161"/>
      <c r="DE287" s="161"/>
      <c r="DF287" s="161"/>
      <c r="DG287" s="161"/>
      <c r="DH287" s="161"/>
      <c r="DI287" s="161"/>
      <c r="DJ287" s="161"/>
      <c r="DK287" s="161"/>
      <c r="DL287" s="161"/>
      <c r="DM287" s="161"/>
      <c r="DN287" s="161"/>
      <c r="DO287" s="161"/>
      <c r="DP287" s="161"/>
      <c r="DQ287" s="161"/>
      <c r="DR287" s="161"/>
      <c r="DS287" s="161"/>
      <c r="DT287" s="161"/>
      <c r="DU287" s="161"/>
      <c r="DV287" s="161"/>
      <c r="DW287" s="161"/>
      <c r="DX287" s="161"/>
      <c r="DY287" s="161"/>
      <c r="DZ287" s="161"/>
      <c r="EA287" s="161"/>
      <c r="EB287" s="174"/>
    </row>
    <row r="288" spans="67:132">
      <c r="BO288" s="161"/>
      <c r="BP288" s="161"/>
      <c r="BQ288" s="161"/>
      <c r="BR288" s="161"/>
      <c r="BS288" s="161"/>
      <c r="BT288" s="161"/>
      <c r="BU288" s="161"/>
      <c r="BV288" s="161"/>
      <c r="BW288" s="161"/>
      <c r="BX288" s="161"/>
      <c r="BY288" s="161"/>
      <c r="BZ288" s="161"/>
      <c r="CA288" s="161"/>
      <c r="CB288" s="161"/>
      <c r="CC288" s="161"/>
      <c r="CD288" s="161"/>
      <c r="CE288" s="161"/>
      <c r="CF288" s="161"/>
      <c r="CG288" s="161"/>
      <c r="CH288" s="161"/>
      <c r="CI288" s="161"/>
      <c r="CJ288" s="161"/>
      <c r="CK288" s="161"/>
      <c r="CL288" s="161"/>
      <c r="CM288" s="161"/>
      <c r="CN288" s="161"/>
      <c r="CO288" s="161"/>
      <c r="CP288" s="161"/>
      <c r="CQ288" s="161"/>
      <c r="CR288" s="161"/>
      <c r="CS288" s="161"/>
      <c r="CT288" s="161"/>
      <c r="CU288" s="161"/>
      <c r="CV288" s="161"/>
      <c r="CW288" s="161"/>
      <c r="CX288" s="161"/>
      <c r="CY288" s="161"/>
      <c r="CZ288" s="161"/>
      <c r="DA288" s="161"/>
      <c r="DB288" s="161"/>
      <c r="DC288" s="161"/>
      <c r="DD288" s="161"/>
      <c r="DE288" s="161"/>
      <c r="DF288" s="161"/>
      <c r="DG288" s="161"/>
      <c r="DH288" s="161"/>
      <c r="DI288" s="161"/>
      <c r="DJ288" s="161"/>
      <c r="DK288" s="161"/>
      <c r="DL288" s="161"/>
      <c r="DM288" s="161"/>
      <c r="DN288" s="161"/>
      <c r="DO288" s="161"/>
      <c r="DP288" s="161"/>
      <c r="DQ288" s="161"/>
      <c r="DR288" s="161"/>
      <c r="DS288" s="161"/>
      <c r="DT288" s="161"/>
      <c r="DU288" s="161"/>
      <c r="DV288" s="161"/>
      <c r="DW288" s="161"/>
      <c r="DX288" s="161"/>
      <c r="DY288" s="161"/>
      <c r="DZ288" s="161"/>
      <c r="EA288" s="161"/>
      <c r="EB288" s="174"/>
    </row>
    <row r="289" spans="67:132">
      <c r="BO289" s="161"/>
      <c r="BP289" s="161"/>
      <c r="BQ289" s="161"/>
      <c r="BR289" s="161"/>
      <c r="BS289" s="161"/>
      <c r="BT289" s="161"/>
      <c r="BU289" s="161"/>
      <c r="BV289" s="161"/>
      <c r="BW289" s="161"/>
      <c r="BX289" s="161"/>
      <c r="BY289" s="161"/>
      <c r="BZ289" s="161"/>
      <c r="CA289" s="161"/>
      <c r="CB289" s="161"/>
      <c r="CC289" s="161"/>
      <c r="CD289" s="161"/>
      <c r="CE289" s="161"/>
      <c r="CF289" s="161"/>
      <c r="CG289" s="161"/>
      <c r="CH289" s="161"/>
      <c r="CI289" s="161"/>
      <c r="CJ289" s="161"/>
      <c r="CK289" s="161"/>
      <c r="CL289" s="161"/>
      <c r="CM289" s="161"/>
      <c r="CN289" s="161"/>
      <c r="CO289" s="161"/>
      <c r="CP289" s="161"/>
      <c r="CQ289" s="161"/>
      <c r="CR289" s="161"/>
      <c r="CS289" s="161"/>
      <c r="CT289" s="161"/>
      <c r="CU289" s="161"/>
      <c r="CV289" s="161"/>
      <c r="CW289" s="161"/>
      <c r="CX289" s="161"/>
      <c r="CY289" s="161"/>
      <c r="CZ289" s="161"/>
      <c r="DA289" s="161"/>
      <c r="DB289" s="161"/>
      <c r="DC289" s="161"/>
      <c r="DD289" s="161"/>
      <c r="DE289" s="161"/>
      <c r="DF289" s="161"/>
      <c r="DG289" s="161"/>
      <c r="DH289" s="161"/>
      <c r="DI289" s="161"/>
      <c r="DJ289" s="161"/>
      <c r="DK289" s="161"/>
      <c r="DL289" s="161"/>
      <c r="DM289" s="161"/>
      <c r="DN289" s="161"/>
      <c r="DO289" s="161"/>
      <c r="DP289" s="161"/>
      <c r="DQ289" s="161"/>
      <c r="DR289" s="161"/>
      <c r="DS289" s="161"/>
      <c r="DT289" s="161"/>
      <c r="DU289" s="161"/>
      <c r="DV289" s="161"/>
      <c r="DW289" s="161"/>
      <c r="DX289" s="161"/>
      <c r="DY289" s="161"/>
      <c r="DZ289" s="161"/>
      <c r="EA289" s="161"/>
      <c r="EB289" s="174"/>
    </row>
    <row r="290" spans="67:132">
      <c r="BO290" s="161"/>
      <c r="BP290" s="161"/>
      <c r="BQ290" s="161"/>
      <c r="BR290" s="161"/>
      <c r="BS290" s="161"/>
      <c r="BT290" s="161"/>
      <c r="BU290" s="161"/>
      <c r="BV290" s="161"/>
      <c r="BW290" s="161"/>
      <c r="BX290" s="161"/>
      <c r="BY290" s="161"/>
      <c r="BZ290" s="161"/>
      <c r="CA290" s="161"/>
      <c r="CB290" s="161"/>
      <c r="CC290" s="161"/>
      <c r="CD290" s="161"/>
      <c r="CE290" s="161"/>
      <c r="CF290" s="161"/>
      <c r="CG290" s="161"/>
      <c r="CH290" s="161"/>
      <c r="CI290" s="161"/>
      <c r="CJ290" s="161"/>
      <c r="CK290" s="161"/>
      <c r="CL290" s="161"/>
      <c r="CM290" s="161"/>
      <c r="CN290" s="161"/>
      <c r="CO290" s="161"/>
      <c r="CP290" s="161"/>
      <c r="CQ290" s="161"/>
      <c r="CR290" s="161"/>
      <c r="CS290" s="161"/>
      <c r="CT290" s="161"/>
      <c r="CU290" s="161"/>
      <c r="CV290" s="161"/>
      <c r="CW290" s="161"/>
      <c r="CX290" s="161"/>
      <c r="CY290" s="161"/>
      <c r="CZ290" s="161"/>
      <c r="DA290" s="161"/>
      <c r="DB290" s="161"/>
      <c r="DC290" s="161"/>
      <c r="DD290" s="161"/>
      <c r="DE290" s="161"/>
      <c r="DF290" s="161"/>
      <c r="DG290" s="161"/>
      <c r="DH290" s="161"/>
      <c r="DI290" s="161"/>
      <c r="DJ290" s="161"/>
      <c r="DK290" s="161"/>
      <c r="DL290" s="161"/>
      <c r="DM290" s="161"/>
      <c r="DN290" s="161"/>
      <c r="DO290" s="161"/>
      <c r="DP290" s="161"/>
      <c r="DQ290" s="161"/>
      <c r="DR290" s="161"/>
      <c r="DS290" s="161"/>
      <c r="DT290" s="161"/>
      <c r="DU290" s="161"/>
      <c r="DV290" s="161"/>
      <c r="DW290" s="161"/>
      <c r="DX290" s="161"/>
      <c r="DY290" s="161"/>
      <c r="DZ290" s="161"/>
      <c r="EA290" s="161"/>
      <c r="EB290" s="174"/>
    </row>
    <row r="291" spans="67:132">
      <c r="BO291" s="161"/>
      <c r="BP291" s="161"/>
      <c r="BQ291" s="161"/>
      <c r="BR291" s="161"/>
      <c r="BS291" s="161"/>
      <c r="BT291" s="161"/>
      <c r="BU291" s="161"/>
      <c r="BV291" s="161"/>
      <c r="BW291" s="161"/>
      <c r="BX291" s="161"/>
      <c r="BY291" s="161"/>
      <c r="BZ291" s="161"/>
      <c r="CA291" s="161"/>
      <c r="CB291" s="161"/>
      <c r="CC291" s="161"/>
      <c r="CD291" s="161"/>
      <c r="CE291" s="161"/>
      <c r="CF291" s="161"/>
      <c r="CG291" s="161"/>
      <c r="CH291" s="161"/>
      <c r="CI291" s="161"/>
      <c r="CJ291" s="161"/>
      <c r="CK291" s="161"/>
      <c r="CL291" s="161"/>
      <c r="CM291" s="161"/>
      <c r="CN291" s="161"/>
      <c r="CO291" s="161"/>
      <c r="CP291" s="161"/>
      <c r="CQ291" s="161"/>
      <c r="CR291" s="161"/>
      <c r="CS291" s="161"/>
      <c r="CT291" s="161"/>
      <c r="CU291" s="161"/>
      <c r="CV291" s="161"/>
      <c r="CW291" s="161"/>
      <c r="CX291" s="161"/>
      <c r="CY291" s="161"/>
      <c r="CZ291" s="161"/>
      <c r="DA291" s="161"/>
      <c r="DB291" s="161"/>
      <c r="DC291" s="161"/>
      <c r="DD291" s="161"/>
      <c r="DE291" s="161"/>
      <c r="DF291" s="161"/>
      <c r="DG291" s="161"/>
      <c r="DH291" s="161"/>
      <c r="DI291" s="161"/>
      <c r="DJ291" s="161"/>
      <c r="DK291" s="161"/>
      <c r="DL291" s="161"/>
      <c r="DM291" s="161"/>
      <c r="DN291" s="161"/>
      <c r="DO291" s="161"/>
      <c r="DP291" s="161"/>
      <c r="DQ291" s="161"/>
      <c r="DR291" s="161"/>
      <c r="DS291" s="161"/>
      <c r="DT291" s="161"/>
      <c r="DU291" s="161"/>
      <c r="DV291" s="161"/>
      <c r="DW291" s="161"/>
      <c r="DX291" s="161"/>
      <c r="DY291" s="161"/>
      <c r="DZ291" s="161"/>
      <c r="EA291" s="161"/>
      <c r="EB291" s="174"/>
    </row>
    <row r="292" spans="67:132">
      <c r="BO292" s="161"/>
      <c r="BP292" s="161"/>
      <c r="BQ292" s="161"/>
      <c r="BR292" s="161"/>
      <c r="BS292" s="161"/>
      <c r="BT292" s="161"/>
      <c r="BU292" s="161"/>
      <c r="BV292" s="161"/>
      <c r="BW292" s="161"/>
      <c r="BX292" s="161"/>
      <c r="BY292" s="161"/>
      <c r="BZ292" s="161"/>
      <c r="CA292" s="161"/>
      <c r="CB292" s="161"/>
      <c r="CC292" s="161"/>
      <c r="CD292" s="161"/>
      <c r="CE292" s="161"/>
      <c r="CF292" s="161"/>
      <c r="CG292" s="161"/>
      <c r="CH292" s="161"/>
      <c r="CI292" s="161"/>
      <c r="CJ292" s="161"/>
      <c r="CK292" s="161"/>
      <c r="CL292" s="161"/>
      <c r="CM292" s="161"/>
      <c r="CN292" s="161"/>
      <c r="CO292" s="161"/>
      <c r="CP292" s="161"/>
      <c r="CQ292" s="161"/>
      <c r="CR292" s="161"/>
      <c r="CS292" s="161"/>
      <c r="CT292" s="161"/>
      <c r="CU292" s="161"/>
      <c r="CV292" s="161"/>
      <c r="CW292" s="161"/>
      <c r="CX292" s="161"/>
      <c r="CY292" s="161"/>
      <c r="CZ292" s="161"/>
      <c r="DA292" s="161"/>
      <c r="DB292" s="161"/>
      <c r="DC292" s="161"/>
      <c r="DD292" s="161"/>
      <c r="DE292" s="161"/>
      <c r="DF292" s="161"/>
      <c r="DG292" s="161"/>
      <c r="DH292" s="161"/>
      <c r="DI292" s="161"/>
      <c r="DJ292" s="161"/>
      <c r="DK292" s="161"/>
      <c r="DL292" s="161"/>
      <c r="DM292" s="161"/>
      <c r="DN292" s="161"/>
      <c r="DO292" s="161"/>
      <c r="DP292" s="161"/>
      <c r="DQ292" s="161"/>
      <c r="DR292" s="161"/>
      <c r="DS292" s="161"/>
      <c r="DT292" s="161"/>
      <c r="DU292" s="161"/>
      <c r="DV292" s="161"/>
      <c r="DW292" s="161"/>
      <c r="DX292" s="161"/>
      <c r="DY292" s="161"/>
      <c r="DZ292" s="161"/>
      <c r="EA292" s="161"/>
      <c r="EB292" s="174"/>
    </row>
    <row r="293" spans="67:132">
      <c r="BO293" s="161"/>
      <c r="BP293" s="161"/>
      <c r="BQ293" s="161"/>
      <c r="BR293" s="161"/>
      <c r="BS293" s="161"/>
      <c r="BT293" s="161"/>
      <c r="BU293" s="161"/>
      <c r="BV293" s="161"/>
      <c r="BW293" s="161"/>
      <c r="BX293" s="161"/>
      <c r="BY293" s="161"/>
      <c r="BZ293" s="161"/>
      <c r="CA293" s="161"/>
      <c r="CB293" s="161"/>
      <c r="CC293" s="161"/>
      <c r="CD293" s="161"/>
      <c r="CE293" s="161"/>
      <c r="CF293" s="161"/>
      <c r="CG293" s="161"/>
      <c r="CH293" s="161"/>
      <c r="CI293" s="161"/>
      <c r="CJ293" s="161"/>
      <c r="CK293" s="161"/>
      <c r="CL293" s="161"/>
      <c r="CM293" s="161"/>
      <c r="CN293" s="161"/>
      <c r="CO293" s="161"/>
      <c r="CP293" s="161"/>
      <c r="CQ293" s="161"/>
      <c r="CR293" s="161"/>
      <c r="CS293" s="161"/>
      <c r="CT293" s="161"/>
      <c r="CU293" s="161"/>
      <c r="CV293" s="161"/>
      <c r="CW293" s="161"/>
      <c r="CX293" s="161"/>
      <c r="CY293" s="161"/>
      <c r="CZ293" s="161"/>
      <c r="DA293" s="161"/>
      <c r="DB293" s="161"/>
      <c r="DC293" s="161"/>
      <c r="DD293" s="161"/>
      <c r="DE293" s="161"/>
      <c r="DF293" s="161"/>
      <c r="DG293" s="161"/>
      <c r="DH293" s="161"/>
      <c r="DI293" s="161"/>
      <c r="DJ293" s="161"/>
      <c r="DK293" s="161"/>
      <c r="DL293" s="161"/>
      <c r="DM293" s="161"/>
      <c r="DN293" s="161"/>
      <c r="DO293" s="161"/>
      <c r="DP293" s="161"/>
      <c r="DQ293" s="161"/>
      <c r="DR293" s="161"/>
      <c r="DS293" s="161"/>
      <c r="DT293" s="161"/>
      <c r="DU293" s="161"/>
      <c r="DV293" s="161"/>
      <c r="DW293" s="161"/>
      <c r="DX293" s="161"/>
      <c r="DY293" s="161"/>
      <c r="DZ293" s="161"/>
      <c r="EA293" s="161"/>
      <c r="EB293" s="174"/>
    </row>
    <row r="294" spans="67:132">
      <c r="BO294" s="161"/>
      <c r="BP294" s="161"/>
      <c r="BQ294" s="161"/>
      <c r="BR294" s="161"/>
      <c r="BS294" s="161"/>
      <c r="BT294" s="161"/>
      <c r="BU294" s="161"/>
      <c r="BV294" s="161"/>
      <c r="BW294" s="161"/>
      <c r="BX294" s="161"/>
      <c r="BY294" s="161"/>
      <c r="BZ294" s="161"/>
      <c r="CA294" s="161"/>
      <c r="CB294" s="161"/>
      <c r="CC294" s="161"/>
      <c r="CD294" s="161"/>
      <c r="CE294" s="161"/>
      <c r="CF294" s="161"/>
      <c r="CG294" s="161"/>
      <c r="CH294" s="161"/>
      <c r="CI294" s="161"/>
      <c r="CJ294" s="161"/>
      <c r="CK294" s="161"/>
      <c r="CL294" s="161"/>
      <c r="CM294" s="161"/>
      <c r="CN294" s="161"/>
      <c r="CO294" s="161"/>
      <c r="CP294" s="161"/>
      <c r="CQ294" s="161"/>
      <c r="CR294" s="161"/>
      <c r="CS294" s="161"/>
      <c r="CT294" s="161"/>
      <c r="CU294" s="161"/>
      <c r="CV294" s="161"/>
      <c r="CW294" s="161"/>
      <c r="CX294" s="161"/>
      <c r="CY294" s="161"/>
      <c r="CZ294" s="161"/>
      <c r="DA294" s="161"/>
      <c r="DB294" s="161"/>
      <c r="DC294" s="161"/>
      <c r="DD294" s="161"/>
      <c r="DE294" s="161"/>
      <c r="DF294" s="161"/>
      <c r="DG294" s="161"/>
      <c r="DH294" s="161"/>
      <c r="DI294" s="161"/>
      <c r="DJ294" s="161"/>
      <c r="DK294" s="161"/>
      <c r="DL294" s="161"/>
      <c r="DM294" s="161"/>
      <c r="DN294" s="161"/>
      <c r="DO294" s="161"/>
      <c r="DP294" s="161"/>
      <c r="DQ294" s="161"/>
      <c r="DR294" s="161"/>
      <c r="DS294" s="161"/>
      <c r="DT294" s="161"/>
      <c r="DU294" s="161"/>
      <c r="DV294" s="161"/>
      <c r="DW294" s="161"/>
      <c r="DX294" s="161"/>
      <c r="DY294" s="161"/>
      <c r="DZ294" s="161"/>
      <c r="EA294" s="161"/>
      <c r="EB294" s="174"/>
    </row>
    <row r="295" spans="67:132">
      <c r="BO295" s="161"/>
      <c r="BP295" s="161"/>
      <c r="BQ295" s="161"/>
      <c r="BR295" s="161"/>
      <c r="BS295" s="161"/>
      <c r="BT295" s="161"/>
      <c r="BU295" s="161"/>
      <c r="BV295" s="161"/>
      <c r="BW295" s="161"/>
      <c r="BX295" s="161"/>
      <c r="BY295" s="161"/>
      <c r="BZ295" s="161"/>
      <c r="CA295" s="161"/>
      <c r="CB295" s="161"/>
      <c r="CC295" s="161"/>
      <c r="CD295" s="161"/>
      <c r="CE295" s="161"/>
      <c r="CF295" s="161"/>
      <c r="CG295" s="161"/>
      <c r="CH295" s="161"/>
      <c r="CI295" s="161"/>
      <c r="CJ295" s="161"/>
      <c r="CK295" s="161"/>
      <c r="CL295" s="161"/>
      <c r="CM295" s="161"/>
      <c r="CN295" s="161"/>
      <c r="CO295" s="161"/>
      <c r="CP295" s="161"/>
      <c r="CQ295" s="161"/>
      <c r="CR295" s="161"/>
      <c r="CS295" s="161"/>
      <c r="CT295" s="161"/>
      <c r="CU295" s="161"/>
      <c r="CV295" s="161"/>
      <c r="CW295" s="161"/>
      <c r="CX295" s="161"/>
      <c r="CY295" s="161"/>
      <c r="CZ295" s="161"/>
      <c r="DA295" s="161"/>
      <c r="DB295" s="161"/>
      <c r="DC295" s="161"/>
      <c r="DD295" s="161"/>
      <c r="DE295" s="161"/>
      <c r="DF295" s="161"/>
      <c r="DG295" s="161"/>
      <c r="DH295" s="161"/>
      <c r="DI295" s="161"/>
      <c r="DJ295" s="161"/>
      <c r="DK295" s="161"/>
      <c r="DL295" s="161"/>
      <c r="DM295" s="161"/>
      <c r="DN295" s="161"/>
      <c r="DO295" s="161"/>
      <c r="DP295" s="161"/>
      <c r="DQ295" s="161"/>
      <c r="DR295" s="161"/>
      <c r="DS295" s="161"/>
      <c r="DT295" s="161"/>
      <c r="DU295" s="161"/>
      <c r="DV295" s="161"/>
      <c r="DW295" s="161"/>
      <c r="DX295" s="161"/>
      <c r="DY295" s="161"/>
      <c r="DZ295" s="161"/>
      <c r="EA295" s="161"/>
      <c r="EB295" s="174"/>
    </row>
    <row r="296" spans="67:132">
      <c r="BO296" s="161"/>
      <c r="BP296" s="161"/>
      <c r="BQ296" s="161"/>
      <c r="BR296" s="161"/>
      <c r="BS296" s="161"/>
      <c r="BT296" s="161"/>
      <c r="BU296" s="161"/>
      <c r="BV296" s="161"/>
      <c r="BW296" s="161"/>
      <c r="BX296" s="161"/>
      <c r="BY296" s="161"/>
      <c r="BZ296" s="161"/>
      <c r="CA296" s="161"/>
      <c r="CB296" s="161"/>
      <c r="CC296" s="161"/>
      <c r="CD296" s="161"/>
      <c r="CE296" s="161"/>
      <c r="CF296" s="161"/>
      <c r="CG296" s="161"/>
      <c r="CH296" s="161"/>
      <c r="CI296" s="161"/>
      <c r="CJ296" s="161"/>
      <c r="CK296" s="161"/>
      <c r="CL296" s="161"/>
      <c r="CM296" s="161"/>
      <c r="CN296" s="161"/>
      <c r="CO296" s="161"/>
      <c r="CP296" s="161"/>
      <c r="CQ296" s="161"/>
      <c r="CR296" s="161"/>
      <c r="CS296" s="161"/>
      <c r="CT296" s="161"/>
      <c r="CU296" s="161"/>
      <c r="CV296" s="161"/>
      <c r="CW296" s="161"/>
      <c r="CX296" s="161"/>
      <c r="CY296" s="161"/>
      <c r="CZ296" s="161"/>
      <c r="DA296" s="161"/>
      <c r="DB296" s="161"/>
      <c r="DC296" s="161"/>
      <c r="DD296" s="161"/>
      <c r="DE296" s="161"/>
      <c r="DF296" s="161"/>
      <c r="DG296" s="161"/>
      <c r="DH296" s="161"/>
      <c r="DI296" s="161"/>
      <c r="DJ296" s="161"/>
      <c r="DK296" s="161"/>
      <c r="DL296" s="161"/>
      <c r="DM296" s="161"/>
      <c r="DN296" s="161"/>
      <c r="DO296" s="161"/>
      <c r="DP296" s="161"/>
      <c r="DQ296" s="161"/>
      <c r="DR296" s="161"/>
      <c r="DS296" s="161"/>
      <c r="DT296" s="161"/>
      <c r="DU296" s="161"/>
      <c r="DV296" s="161"/>
      <c r="DW296" s="161"/>
      <c r="DX296" s="161"/>
      <c r="DY296" s="161"/>
      <c r="DZ296" s="161"/>
      <c r="EA296" s="161"/>
      <c r="EB296" s="174"/>
    </row>
    <row r="297" spans="67:132">
      <c r="BO297" s="161"/>
      <c r="BP297" s="161"/>
      <c r="BQ297" s="161"/>
      <c r="BR297" s="161"/>
      <c r="BS297" s="161"/>
      <c r="BT297" s="161"/>
      <c r="BU297" s="161"/>
      <c r="BV297" s="161"/>
      <c r="BW297" s="161"/>
      <c r="BX297" s="161"/>
      <c r="BY297" s="161"/>
      <c r="BZ297" s="161"/>
      <c r="CA297" s="161"/>
      <c r="CB297" s="161"/>
      <c r="CC297" s="161"/>
      <c r="CD297" s="161"/>
      <c r="CE297" s="161"/>
      <c r="CF297" s="161"/>
      <c r="CG297" s="161"/>
      <c r="CH297" s="161"/>
      <c r="CI297" s="161"/>
      <c r="CJ297" s="161"/>
      <c r="CK297" s="161"/>
      <c r="CL297" s="161"/>
      <c r="CM297" s="161"/>
      <c r="CN297" s="161"/>
      <c r="CO297" s="161"/>
      <c r="CP297" s="161"/>
      <c r="CQ297" s="161"/>
      <c r="CR297" s="161"/>
      <c r="CS297" s="161"/>
      <c r="CT297" s="161"/>
      <c r="CU297" s="161"/>
      <c r="CV297" s="161"/>
      <c r="CW297" s="161"/>
      <c r="CX297" s="161"/>
      <c r="CY297" s="161"/>
      <c r="CZ297" s="161"/>
      <c r="DA297" s="161"/>
      <c r="DB297" s="161"/>
      <c r="DC297" s="161"/>
      <c r="DD297" s="161"/>
      <c r="DE297" s="161"/>
      <c r="DF297" s="161"/>
      <c r="DG297" s="161"/>
      <c r="DH297" s="161"/>
      <c r="DI297" s="161"/>
      <c r="DJ297" s="161"/>
      <c r="DK297" s="161"/>
      <c r="DL297" s="161"/>
      <c r="DM297" s="161"/>
      <c r="DN297" s="161"/>
      <c r="DO297" s="161"/>
      <c r="DP297" s="161"/>
      <c r="DQ297" s="161"/>
      <c r="DR297" s="161"/>
      <c r="DS297" s="161"/>
      <c r="DT297" s="161"/>
      <c r="DU297" s="161"/>
      <c r="DV297" s="161"/>
      <c r="DW297" s="161"/>
      <c r="DX297" s="161"/>
      <c r="DY297" s="161"/>
      <c r="DZ297" s="161"/>
      <c r="EA297" s="161"/>
      <c r="EB297" s="174"/>
    </row>
    <row r="298" spans="67:132">
      <c r="BO298" s="161"/>
      <c r="BP298" s="161"/>
      <c r="BQ298" s="161"/>
      <c r="BR298" s="161"/>
      <c r="BS298" s="161"/>
      <c r="BT298" s="161"/>
      <c r="BU298" s="161"/>
      <c r="BV298" s="161"/>
      <c r="BW298" s="161"/>
      <c r="BX298" s="161"/>
      <c r="BY298" s="161"/>
      <c r="BZ298" s="161"/>
      <c r="CA298" s="161"/>
      <c r="CB298" s="161"/>
      <c r="CC298" s="161"/>
      <c r="CD298" s="161"/>
      <c r="CE298" s="161"/>
      <c r="CF298" s="161"/>
      <c r="CG298" s="161"/>
      <c r="CH298" s="161"/>
      <c r="CI298" s="161"/>
      <c r="CJ298" s="161"/>
      <c r="CK298" s="161"/>
      <c r="CL298" s="161"/>
      <c r="CM298" s="161"/>
      <c r="CN298" s="161"/>
      <c r="CO298" s="161"/>
      <c r="CP298" s="161"/>
      <c r="CQ298" s="161"/>
      <c r="CR298" s="161"/>
      <c r="CS298" s="161"/>
      <c r="CT298" s="161"/>
      <c r="CU298" s="161"/>
      <c r="CV298" s="161"/>
      <c r="CW298" s="161"/>
      <c r="CX298" s="161"/>
      <c r="CY298" s="161"/>
      <c r="CZ298" s="161"/>
      <c r="DA298" s="161"/>
      <c r="DB298" s="161"/>
      <c r="DC298" s="161"/>
      <c r="DD298" s="161"/>
      <c r="DE298" s="161"/>
      <c r="DF298" s="161"/>
      <c r="DG298" s="161"/>
      <c r="DH298" s="161"/>
      <c r="DI298" s="161"/>
      <c r="DJ298" s="161"/>
      <c r="DK298" s="161"/>
      <c r="DL298" s="161"/>
      <c r="DM298" s="161"/>
      <c r="DN298" s="161"/>
      <c r="DO298" s="161"/>
      <c r="DP298" s="161"/>
      <c r="DQ298" s="161"/>
      <c r="DR298" s="161"/>
      <c r="DS298" s="161"/>
      <c r="DT298" s="161"/>
      <c r="DU298" s="161"/>
      <c r="DV298" s="161"/>
      <c r="DW298" s="161"/>
      <c r="DX298" s="161"/>
      <c r="DY298" s="161"/>
      <c r="DZ298" s="161"/>
      <c r="EA298" s="161"/>
      <c r="EB298" s="174"/>
    </row>
    <row r="299" spans="67:132">
      <c r="BO299" s="161"/>
      <c r="BP299" s="161"/>
      <c r="BQ299" s="161"/>
      <c r="BR299" s="161"/>
      <c r="BS299" s="161"/>
      <c r="BT299" s="161"/>
      <c r="BU299" s="161"/>
      <c r="BV299" s="161"/>
      <c r="BW299" s="161"/>
      <c r="BX299" s="161"/>
      <c r="BY299" s="161"/>
      <c r="BZ299" s="161"/>
      <c r="CA299" s="161"/>
      <c r="CB299" s="161"/>
      <c r="CC299" s="161"/>
      <c r="CD299" s="161"/>
      <c r="CE299" s="161"/>
      <c r="CF299" s="161"/>
      <c r="CG299" s="161"/>
      <c r="CH299" s="161"/>
      <c r="CI299" s="161"/>
      <c r="CJ299" s="161"/>
      <c r="CK299" s="161"/>
      <c r="CL299" s="161"/>
      <c r="CM299" s="161"/>
      <c r="CN299" s="161"/>
      <c r="CO299" s="161"/>
      <c r="CP299" s="161"/>
      <c r="CQ299" s="161"/>
      <c r="CR299" s="161"/>
      <c r="CS299" s="161"/>
      <c r="CT299" s="161"/>
      <c r="CU299" s="161"/>
      <c r="CV299" s="161"/>
      <c r="CW299" s="161"/>
      <c r="CX299" s="161"/>
      <c r="CY299" s="161"/>
      <c r="CZ299" s="161"/>
      <c r="DA299" s="161"/>
      <c r="DB299" s="161"/>
      <c r="DC299" s="161"/>
      <c r="DD299" s="161"/>
      <c r="DE299" s="161"/>
      <c r="DF299" s="161"/>
      <c r="DG299" s="161"/>
      <c r="DH299" s="161"/>
      <c r="DI299" s="161"/>
      <c r="DJ299" s="161"/>
      <c r="DK299" s="161"/>
      <c r="DL299" s="161"/>
      <c r="DM299" s="161"/>
      <c r="DN299" s="161"/>
      <c r="DO299" s="161"/>
      <c r="DP299" s="161"/>
      <c r="DQ299" s="161"/>
      <c r="DR299" s="161"/>
      <c r="DS299" s="161"/>
      <c r="DT299" s="161"/>
      <c r="DU299" s="161"/>
      <c r="DV299" s="161"/>
      <c r="DW299" s="161"/>
      <c r="DX299" s="161"/>
      <c r="DY299" s="161"/>
      <c r="DZ299" s="161"/>
      <c r="EA299" s="161"/>
      <c r="EB299" s="174"/>
    </row>
    <row r="300" spans="67:132">
      <c r="BO300" s="161"/>
      <c r="BP300" s="161"/>
      <c r="BQ300" s="161"/>
      <c r="BR300" s="161"/>
      <c r="BS300" s="161"/>
      <c r="BT300" s="161"/>
      <c r="BU300" s="161"/>
      <c r="BV300" s="161"/>
      <c r="BW300" s="161"/>
      <c r="BX300" s="161"/>
      <c r="BY300" s="161"/>
      <c r="BZ300" s="161"/>
      <c r="CA300" s="161"/>
      <c r="CB300" s="161"/>
      <c r="CC300" s="161"/>
      <c r="CD300" s="161"/>
      <c r="CE300" s="161"/>
      <c r="CF300" s="161"/>
      <c r="CG300" s="161"/>
      <c r="CH300" s="161"/>
      <c r="CI300" s="161"/>
      <c r="CJ300" s="161"/>
      <c r="CK300" s="161"/>
      <c r="CL300" s="161"/>
      <c r="CM300" s="161"/>
      <c r="CN300" s="161"/>
      <c r="CO300" s="161"/>
      <c r="CP300" s="161"/>
      <c r="CQ300" s="161"/>
      <c r="CR300" s="161"/>
      <c r="CS300" s="161"/>
      <c r="CT300" s="161"/>
      <c r="CU300" s="161"/>
      <c r="CV300" s="161"/>
      <c r="CW300" s="161"/>
      <c r="CX300" s="161"/>
      <c r="CY300" s="161"/>
      <c r="CZ300" s="161"/>
      <c r="DA300" s="161"/>
      <c r="DB300" s="161"/>
      <c r="DC300" s="161"/>
      <c r="DD300" s="161"/>
      <c r="DE300" s="161"/>
      <c r="DF300" s="161"/>
      <c r="DG300" s="161"/>
      <c r="DH300" s="161"/>
      <c r="DI300" s="161"/>
      <c r="DJ300" s="161"/>
      <c r="DK300" s="161"/>
      <c r="DL300" s="161"/>
      <c r="DM300" s="161"/>
      <c r="DN300" s="161"/>
      <c r="DO300" s="161"/>
      <c r="DP300" s="161"/>
      <c r="DQ300" s="161"/>
      <c r="DR300" s="161"/>
      <c r="DS300" s="161"/>
      <c r="DT300" s="161"/>
      <c r="DU300" s="161"/>
      <c r="DV300" s="161"/>
      <c r="DW300" s="161"/>
      <c r="DX300" s="161"/>
      <c r="DY300" s="161"/>
      <c r="DZ300" s="161"/>
      <c r="EA300" s="161"/>
      <c r="EB300" s="174"/>
    </row>
    <row r="301" spans="67:132">
      <c r="BO301" s="161"/>
      <c r="BP301" s="161"/>
      <c r="BQ301" s="161"/>
      <c r="BR301" s="161"/>
      <c r="BS301" s="161"/>
      <c r="BT301" s="161"/>
      <c r="BU301" s="161"/>
      <c r="BV301" s="161"/>
      <c r="BW301" s="161"/>
      <c r="BX301" s="161"/>
      <c r="BY301" s="161"/>
      <c r="BZ301" s="161"/>
      <c r="CA301" s="161"/>
      <c r="CB301" s="161"/>
      <c r="CC301" s="161"/>
      <c r="CD301" s="161"/>
      <c r="CE301" s="161"/>
      <c r="CF301" s="161"/>
      <c r="CG301" s="161"/>
      <c r="CH301" s="161"/>
      <c r="CI301" s="161"/>
      <c r="CJ301" s="161"/>
      <c r="CK301" s="161"/>
      <c r="CL301" s="161"/>
      <c r="CM301" s="161"/>
      <c r="CN301" s="161"/>
      <c r="CO301" s="161"/>
      <c r="CP301" s="161"/>
      <c r="CQ301" s="161"/>
      <c r="CR301" s="161"/>
      <c r="CS301" s="161"/>
      <c r="CT301" s="161"/>
      <c r="CU301" s="161"/>
      <c r="CV301" s="161"/>
      <c r="CW301" s="161"/>
      <c r="CX301" s="161"/>
      <c r="CY301" s="161"/>
      <c r="CZ301" s="161"/>
      <c r="DA301" s="161"/>
      <c r="DB301" s="161"/>
      <c r="DC301" s="161"/>
      <c r="DD301" s="161"/>
      <c r="DE301" s="161"/>
      <c r="DF301" s="161"/>
      <c r="DG301" s="161"/>
      <c r="DH301" s="161"/>
      <c r="DI301" s="161"/>
      <c r="DJ301" s="161"/>
      <c r="DK301" s="161"/>
      <c r="DL301" s="161"/>
      <c r="DM301" s="161"/>
      <c r="DN301" s="161"/>
      <c r="DO301" s="161"/>
      <c r="DP301" s="161"/>
      <c r="DQ301" s="161"/>
      <c r="DR301" s="161"/>
      <c r="DS301" s="161"/>
      <c r="DT301" s="161"/>
      <c r="DU301" s="161"/>
      <c r="DV301" s="161"/>
      <c r="DW301" s="161"/>
      <c r="DX301" s="161"/>
      <c r="DY301" s="161"/>
      <c r="DZ301" s="161"/>
      <c r="EA301" s="161"/>
      <c r="EB301" s="174"/>
    </row>
    <row r="302" spans="67:132">
      <c r="BO302" s="161"/>
      <c r="BP302" s="161"/>
      <c r="BQ302" s="161"/>
      <c r="BR302" s="161"/>
      <c r="BS302" s="161"/>
      <c r="BT302" s="161"/>
      <c r="BU302" s="161"/>
      <c r="BV302" s="161"/>
      <c r="BW302" s="161"/>
      <c r="BX302" s="161"/>
      <c r="BY302" s="161"/>
      <c r="BZ302" s="161"/>
      <c r="CA302" s="161"/>
      <c r="CB302" s="161"/>
      <c r="CC302" s="161"/>
      <c r="CD302" s="161"/>
      <c r="CE302" s="161"/>
      <c r="CF302" s="161"/>
      <c r="CG302" s="161"/>
      <c r="CH302" s="161"/>
      <c r="CI302" s="161"/>
      <c r="CJ302" s="161"/>
      <c r="CK302" s="161"/>
      <c r="CL302" s="161"/>
      <c r="CM302" s="161"/>
      <c r="CN302" s="161"/>
      <c r="CO302" s="161"/>
      <c r="CP302" s="161"/>
      <c r="CQ302" s="161"/>
      <c r="CR302" s="161"/>
      <c r="CS302" s="161"/>
      <c r="CT302" s="161"/>
      <c r="CU302" s="161"/>
      <c r="CV302" s="161"/>
      <c r="CW302" s="161"/>
      <c r="CX302" s="161"/>
      <c r="CY302" s="161"/>
      <c r="CZ302" s="161"/>
      <c r="DA302" s="161"/>
      <c r="DB302" s="161"/>
      <c r="DC302" s="161"/>
      <c r="DD302" s="161"/>
      <c r="DE302" s="161"/>
      <c r="DF302" s="161"/>
      <c r="DG302" s="161"/>
      <c r="DH302" s="161"/>
      <c r="DI302" s="161"/>
      <c r="DJ302" s="161"/>
      <c r="DK302" s="161"/>
      <c r="DL302" s="161"/>
      <c r="DM302" s="161"/>
      <c r="DN302" s="161"/>
      <c r="DO302" s="161"/>
      <c r="DP302" s="161"/>
      <c r="DQ302" s="161"/>
      <c r="DR302" s="161"/>
      <c r="DS302" s="161"/>
      <c r="DT302" s="161"/>
      <c r="DU302" s="161"/>
      <c r="DV302" s="161"/>
      <c r="DW302" s="161"/>
      <c r="DX302" s="161"/>
      <c r="DY302" s="161"/>
      <c r="DZ302" s="161"/>
      <c r="EA302" s="161"/>
      <c r="EB302" s="174"/>
    </row>
    <row r="303" spans="67:132">
      <c r="BO303" s="161"/>
      <c r="BP303" s="161"/>
      <c r="BQ303" s="161"/>
      <c r="BR303" s="161"/>
      <c r="BS303" s="161"/>
      <c r="BT303" s="161"/>
      <c r="BU303" s="161"/>
      <c r="BV303" s="161"/>
      <c r="BW303" s="161"/>
      <c r="BX303" s="161"/>
      <c r="BY303" s="161"/>
      <c r="BZ303" s="161"/>
      <c r="CA303" s="161"/>
      <c r="CB303" s="161"/>
      <c r="CC303" s="161"/>
      <c r="CD303" s="161"/>
      <c r="CE303" s="161"/>
      <c r="CF303" s="161"/>
      <c r="CG303" s="161"/>
      <c r="CH303" s="161"/>
      <c r="CI303" s="161"/>
      <c r="CJ303" s="161"/>
      <c r="CK303" s="161"/>
      <c r="CL303" s="161"/>
      <c r="CM303" s="161"/>
      <c r="CN303" s="161"/>
      <c r="CO303" s="161"/>
      <c r="CP303" s="161"/>
      <c r="CQ303" s="161"/>
      <c r="CR303" s="161"/>
      <c r="CS303" s="161"/>
      <c r="CT303" s="161"/>
      <c r="CU303" s="161"/>
      <c r="CV303" s="161"/>
      <c r="CW303" s="161"/>
      <c r="CX303" s="161"/>
      <c r="CY303" s="161"/>
      <c r="CZ303" s="161"/>
      <c r="DA303" s="161"/>
      <c r="DB303" s="161"/>
      <c r="DC303" s="161"/>
      <c r="DD303" s="161"/>
      <c r="DE303" s="161"/>
      <c r="DF303" s="161"/>
      <c r="DG303" s="161"/>
      <c r="DH303" s="161"/>
      <c r="DI303" s="161"/>
      <c r="DJ303" s="161"/>
      <c r="DK303" s="161"/>
      <c r="DL303" s="161"/>
      <c r="DM303" s="161"/>
      <c r="DN303" s="161"/>
      <c r="DO303" s="161"/>
      <c r="DP303" s="161"/>
      <c r="DQ303" s="161"/>
      <c r="DR303" s="161"/>
      <c r="DS303" s="161"/>
      <c r="DT303" s="161"/>
      <c r="DU303" s="161"/>
      <c r="DV303" s="161"/>
      <c r="DW303" s="161"/>
      <c r="DX303" s="161"/>
      <c r="DY303" s="161"/>
      <c r="DZ303" s="161"/>
      <c r="EA303" s="161"/>
      <c r="EB303" s="174"/>
    </row>
    <row r="304" spans="67:132">
      <c r="BO304" s="161"/>
      <c r="BP304" s="161"/>
      <c r="BQ304" s="161"/>
      <c r="BR304" s="161"/>
      <c r="BS304" s="161"/>
      <c r="BT304" s="161"/>
      <c r="BU304" s="161"/>
      <c r="BV304" s="161"/>
      <c r="BW304" s="161"/>
      <c r="BX304" s="161"/>
      <c r="BY304" s="161"/>
      <c r="BZ304" s="161"/>
      <c r="CA304" s="161"/>
      <c r="CB304" s="161"/>
      <c r="CC304" s="161"/>
      <c r="CD304" s="161"/>
      <c r="CE304" s="161"/>
      <c r="CF304" s="161"/>
      <c r="CG304" s="161"/>
      <c r="CH304" s="161"/>
      <c r="CI304" s="161"/>
      <c r="CJ304" s="161"/>
      <c r="CK304" s="161"/>
      <c r="CL304" s="161"/>
      <c r="CM304" s="161"/>
      <c r="CN304" s="161"/>
      <c r="CO304" s="161"/>
      <c r="CP304" s="161"/>
      <c r="CQ304" s="161"/>
      <c r="CR304" s="161"/>
      <c r="CS304" s="161"/>
      <c r="CT304" s="161"/>
      <c r="CU304" s="161"/>
      <c r="CV304" s="161"/>
      <c r="CW304" s="161"/>
      <c r="CX304" s="161"/>
      <c r="CY304" s="161"/>
      <c r="CZ304" s="161"/>
      <c r="DA304" s="161"/>
      <c r="DB304" s="161"/>
      <c r="DC304" s="161"/>
      <c r="DD304" s="161"/>
      <c r="DE304" s="161"/>
      <c r="DF304" s="161"/>
      <c r="DG304" s="161"/>
      <c r="DH304" s="161"/>
      <c r="DI304" s="161"/>
      <c r="DJ304" s="161"/>
      <c r="DK304" s="161"/>
      <c r="DL304" s="161"/>
      <c r="DM304" s="161"/>
      <c r="DN304" s="161"/>
      <c r="DO304" s="161"/>
      <c r="DP304" s="161"/>
      <c r="DQ304" s="161"/>
      <c r="DR304" s="161"/>
      <c r="DS304" s="161"/>
      <c r="DT304" s="161"/>
      <c r="DU304" s="161"/>
      <c r="DV304" s="161"/>
      <c r="DW304" s="161"/>
      <c r="DX304" s="161"/>
      <c r="DY304" s="161"/>
      <c r="DZ304" s="161"/>
      <c r="EA304" s="161"/>
      <c r="EB304" s="174"/>
    </row>
    <row r="305" spans="67:132">
      <c r="BO305" s="161"/>
      <c r="BP305" s="161"/>
      <c r="BQ305" s="161"/>
      <c r="BR305" s="161"/>
      <c r="BS305" s="161"/>
      <c r="BT305" s="161"/>
      <c r="BU305" s="161"/>
      <c r="BV305" s="161"/>
      <c r="BW305" s="161"/>
      <c r="BX305" s="161"/>
      <c r="BY305" s="161"/>
      <c r="BZ305" s="161"/>
      <c r="CA305" s="161"/>
      <c r="CB305" s="161"/>
      <c r="CC305" s="161"/>
      <c r="CD305" s="161"/>
      <c r="CE305" s="161"/>
      <c r="CF305" s="161"/>
      <c r="CG305" s="161"/>
      <c r="CH305" s="161"/>
      <c r="CI305" s="161"/>
      <c r="CJ305" s="161"/>
      <c r="CK305" s="161"/>
      <c r="CL305" s="161"/>
      <c r="CM305" s="161"/>
      <c r="CN305" s="161"/>
      <c r="CO305" s="161"/>
      <c r="CP305" s="161"/>
      <c r="CQ305" s="161"/>
      <c r="CR305" s="161"/>
      <c r="CS305" s="161"/>
      <c r="CT305" s="161"/>
      <c r="CU305" s="161"/>
      <c r="CV305" s="161"/>
      <c r="CW305" s="161"/>
      <c r="CX305" s="161"/>
      <c r="CY305" s="161"/>
      <c r="CZ305" s="161"/>
      <c r="DA305" s="161"/>
      <c r="DB305" s="161"/>
      <c r="DC305" s="161"/>
      <c r="DD305" s="161"/>
      <c r="DE305" s="161"/>
      <c r="DF305" s="161"/>
      <c r="DG305" s="161"/>
      <c r="DH305" s="161"/>
      <c r="DI305" s="161"/>
      <c r="DJ305" s="161"/>
      <c r="DK305" s="161"/>
      <c r="DL305" s="161"/>
      <c r="DM305" s="161"/>
      <c r="DN305" s="161"/>
      <c r="DO305" s="161"/>
      <c r="DP305" s="161"/>
      <c r="DQ305" s="161"/>
      <c r="DR305" s="161"/>
      <c r="DS305" s="161"/>
      <c r="DT305" s="161"/>
      <c r="DU305" s="161"/>
      <c r="DV305" s="161"/>
      <c r="DW305" s="161"/>
      <c r="DX305" s="161"/>
      <c r="DY305" s="161"/>
      <c r="DZ305" s="161"/>
      <c r="EA305" s="161"/>
      <c r="EB305" s="174"/>
    </row>
    <row r="306" spans="67:132">
      <c r="BO306" s="161"/>
      <c r="BP306" s="161"/>
      <c r="BQ306" s="161"/>
      <c r="BR306" s="161"/>
      <c r="BS306" s="161"/>
      <c r="BT306" s="161"/>
      <c r="BU306" s="161"/>
      <c r="BV306" s="161"/>
      <c r="BW306" s="161"/>
      <c r="BX306" s="161"/>
      <c r="BY306" s="161"/>
      <c r="BZ306" s="161"/>
      <c r="CA306" s="161"/>
      <c r="CB306" s="161"/>
      <c r="CC306" s="161"/>
      <c r="CD306" s="161"/>
      <c r="CE306" s="161"/>
      <c r="CF306" s="161"/>
      <c r="CG306" s="161"/>
      <c r="CH306" s="161"/>
      <c r="CI306" s="161"/>
      <c r="CJ306" s="161"/>
      <c r="CK306" s="161"/>
      <c r="CL306" s="161"/>
      <c r="CM306" s="161"/>
      <c r="CN306" s="161"/>
      <c r="CO306" s="161"/>
      <c r="CP306" s="161"/>
      <c r="CQ306" s="161"/>
      <c r="CR306" s="161"/>
      <c r="CS306" s="161"/>
      <c r="CT306" s="161"/>
      <c r="CU306" s="161"/>
      <c r="CV306" s="161"/>
      <c r="CW306" s="161"/>
      <c r="CX306" s="161"/>
      <c r="CY306" s="161"/>
      <c r="CZ306" s="161"/>
      <c r="DA306" s="161"/>
      <c r="DB306" s="161"/>
      <c r="DC306" s="161"/>
      <c r="DD306" s="161"/>
      <c r="DE306" s="161"/>
      <c r="DF306" s="161"/>
      <c r="DG306" s="161"/>
      <c r="DH306" s="161"/>
      <c r="DI306" s="161"/>
      <c r="DJ306" s="161"/>
      <c r="DK306" s="161"/>
      <c r="DL306" s="161"/>
      <c r="DM306" s="161"/>
      <c r="DN306" s="161"/>
      <c r="DO306" s="161"/>
      <c r="DP306" s="161"/>
      <c r="DQ306" s="161"/>
      <c r="DR306" s="161"/>
      <c r="DS306" s="161"/>
      <c r="DT306" s="161"/>
      <c r="DU306" s="161"/>
      <c r="DV306" s="161"/>
      <c r="DW306" s="161"/>
      <c r="DX306" s="161"/>
      <c r="DY306" s="161"/>
      <c r="DZ306" s="161"/>
      <c r="EA306" s="161"/>
      <c r="EB306" s="174"/>
    </row>
    <row r="307" spans="67:132">
      <c r="BO307" s="161"/>
      <c r="BP307" s="161"/>
      <c r="BQ307" s="161"/>
      <c r="BR307" s="161"/>
      <c r="BS307" s="161"/>
      <c r="BT307" s="161"/>
      <c r="BU307" s="161"/>
      <c r="BV307" s="161"/>
      <c r="BW307" s="161"/>
      <c r="BX307" s="161"/>
      <c r="BY307" s="161"/>
      <c r="BZ307" s="161"/>
      <c r="CA307" s="161"/>
      <c r="CB307" s="161"/>
      <c r="CC307" s="161"/>
      <c r="CD307" s="161"/>
      <c r="CE307" s="161"/>
      <c r="CF307" s="161"/>
      <c r="CG307" s="161"/>
      <c r="CH307" s="161"/>
      <c r="CI307" s="161"/>
      <c r="CJ307" s="161"/>
      <c r="CK307" s="161"/>
      <c r="CL307" s="161"/>
      <c r="CM307" s="161"/>
      <c r="CN307" s="161"/>
      <c r="CO307" s="161"/>
      <c r="CP307" s="161"/>
      <c r="CQ307" s="161"/>
      <c r="CR307" s="161"/>
      <c r="CS307" s="161"/>
      <c r="CT307" s="161"/>
      <c r="CU307" s="161"/>
      <c r="CV307" s="161"/>
      <c r="CW307" s="161"/>
      <c r="CX307" s="161"/>
      <c r="CY307" s="161"/>
      <c r="CZ307" s="161"/>
      <c r="DA307" s="161"/>
      <c r="DB307" s="161"/>
      <c r="DC307" s="161"/>
      <c r="DD307" s="161"/>
      <c r="DE307" s="161"/>
      <c r="DF307" s="161"/>
      <c r="DG307" s="161"/>
      <c r="DH307" s="161"/>
      <c r="DI307" s="161"/>
      <c r="DJ307" s="161"/>
      <c r="DK307" s="161"/>
      <c r="DL307" s="161"/>
      <c r="DM307" s="161"/>
      <c r="DN307" s="161"/>
      <c r="DO307" s="161"/>
      <c r="DP307" s="161"/>
      <c r="DQ307" s="161"/>
      <c r="DR307" s="161"/>
      <c r="DS307" s="161"/>
      <c r="DT307" s="161"/>
      <c r="DU307" s="161"/>
      <c r="DV307" s="161"/>
      <c r="DW307" s="161"/>
      <c r="DX307" s="161"/>
      <c r="DY307" s="161"/>
      <c r="DZ307" s="161"/>
      <c r="EA307" s="161"/>
      <c r="EB307" s="174"/>
    </row>
    <row r="308" spans="67:132">
      <c r="BO308" s="161"/>
      <c r="BP308" s="161"/>
      <c r="BQ308" s="161"/>
      <c r="BR308" s="161"/>
      <c r="BS308" s="161"/>
      <c r="BT308" s="161"/>
      <c r="BU308" s="161"/>
      <c r="BV308" s="161"/>
      <c r="BW308" s="161"/>
      <c r="BX308" s="161"/>
      <c r="BY308" s="161"/>
      <c r="BZ308" s="161"/>
      <c r="CA308" s="161"/>
      <c r="CB308" s="161"/>
      <c r="CC308" s="161"/>
      <c r="CD308" s="161"/>
      <c r="CE308" s="161"/>
      <c r="CF308" s="161"/>
      <c r="CG308" s="161"/>
      <c r="CH308" s="161"/>
      <c r="CI308" s="161"/>
      <c r="CJ308" s="161"/>
      <c r="CK308" s="161"/>
      <c r="CL308" s="161"/>
      <c r="CM308" s="161"/>
      <c r="CN308" s="161"/>
      <c r="CO308" s="161"/>
      <c r="CP308" s="161"/>
      <c r="CQ308" s="161"/>
      <c r="CR308" s="161"/>
      <c r="CS308" s="161"/>
      <c r="CT308" s="161"/>
      <c r="CU308" s="161"/>
      <c r="CV308" s="161"/>
      <c r="CW308" s="161"/>
      <c r="CX308" s="161"/>
      <c r="CY308" s="161"/>
      <c r="CZ308" s="161"/>
      <c r="DA308" s="161"/>
      <c r="DB308" s="161"/>
      <c r="DC308" s="161"/>
      <c r="DD308" s="161"/>
      <c r="DE308" s="161"/>
      <c r="DF308" s="161"/>
      <c r="DG308" s="161"/>
      <c r="DH308" s="161"/>
      <c r="DI308" s="161"/>
      <c r="DJ308" s="161"/>
      <c r="DK308" s="161"/>
      <c r="DL308" s="161"/>
      <c r="DM308" s="161"/>
      <c r="DN308" s="161"/>
      <c r="DO308" s="161"/>
      <c r="DP308" s="161"/>
      <c r="DQ308" s="161"/>
      <c r="DR308" s="161"/>
      <c r="DS308" s="161"/>
      <c r="DT308" s="161"/>
      <c r="DU308" s="161"/>
      <c r="DV308" s="161"/>
      <c r="DW308" s="161"/>
      <c r="DX308" s="161"/>
      <c r="DY308" s="161"/>
      <c r="DZ308" s="161"/>
      <c r="EA308" s="161"/>
      <c r="EB308" s="174"/>
    </row>
    <row r="309" spans="67:132">
      <c r="BO309" s="161"/>
      <c r="BP309" s="161"/>
      <c r="BQ309" s="161"/>
      <c r="BR309" s="161"/>
      <c r="BS309" s="161"/>
      <c r="BT309" s="161"/>
      <c r="BU309" s="161"/>
      <c r="BV309" s="161"/>
      <c r="BW309" s="161"/>
      <c r="BX309" s="161"/>
      <c r="BY309" s="161"/>
      <c r="BZ309" s="161"/>
      <c r="CA309" s="161"/>
      <c r="CB309" s="161"/>
      <c r="CC309" s="161"/>
      <c r="CD309" s="161"/>
      <c r="CE309" s="161"/>
      <c r="CF309" s="161"/>
      <c r="CG309" s="161"/>
      <c r="CH309" s="161"/>
      <c r="CI309" s="161"/>
      <c r="CJ309" s="161"/>
      <c r="CK309" s="161"/>
      <c r="CL309" s="161"/>
      <c r="CM309" s="161"/>
      <c r="CN309" s="161"/>
      <c r="CO309" s="161"/>
      <c r="CP309" s="161"/>
      <c r="CQ309" s="161"/>
      <c r="CR309" s="161"/>
      <c r="CS309" s="161"/>
      <c r="CT309" s="161"/>
      <c r="CU309" s="161"/>
      <c r="CV309" s="161"/>
      <c r="CW309" s="161"/>
      <c r="CX309" s="161"/>
      <c r="CY309" s="161"/>
      <c r="CZ309" s="161"/>
      <c r="DA309" s="161"/>
      <c r="DB309" s="161"/>
      <c r="DC309" s="161"/>
      <c r="DD309" s="161"/>
      <c r="DE309" s="161"/>
      <c r="DF309" s="161"/>
      <c r="DG309" s="161"/>
      <c r="DH309" s="161"/>
      <c r="DI309" s="161"/>
      <c r="DJ309" s="161"/>
      <c r="DK309" s="161"/>
      <c r="DL309" s="161"/>
      <c r="DM309" s="161"/>
      <c r="DN309" s="161"/>
      <c r="DO309" s="161"/>
      <c r="DP309" s="161"/>
      <c r="DQ309" s="161"/>
      <c r="DR309" s="161"/>
      <c r="DS309" s="161"/>
      <c r="DT309" s="161"/>
      <c r="DU309" s="161"/>
      <c r="DV309" s="161"/>
      <c r="DW309" s="161"/>
      <c r="DX309" s="161"/>
      <c r="DY309" s="161"/>
      <c r="DZ309" s="161"/>
      <c r="EA309" s="161"/>
      <c r="EB309" s="174"/>
    </row>
    <row r="310" spans="67:132">
      <c r="BO310" s="161"/>
      <c r="BP310" s="161"/>
      <c r="BQ310" s="161"/>
      <c r="BR310" s="161"/>
      <c r="BS310" s="161"/>
      <c r="BT310" s="161"/>
      <c r="BU310" s="161"/>
      <c r="BV310" s="161"/>
      <c r="BW310" s="161"/>
      <c r="BX310" s="161"/>
      <c r="BY310" s="161"/>
      <c r="BZ310" s="161"/>
      <c r="CA310" s="161"/>
      <c r="CB310" s="161"/>
      <c r="CC310" s="161"/>
      <c r="CD310" s="161"/>
      <c r="CE310" s="161"/>
      <c r="CF310" s="161"/>
      <c r="CG310" s="161"/>
      <c r="CH310" s="161"/>
      <c r="CI310" s="161"/>
      <c r="CJ310" s="161"/>
      <c r="CK310" s="161"/>
      <c r="CL310" s="161"/>
      <c r="CM310" s="161"/>
      <c r="CN310" s="161"/>
      <c r="CO310" s="161"/>
      <c r="CP310" s="161"/>
      <c r="CQ310" s="161"/>
      <c r="CR310" s="161"/>
      <c r="CS310" s="161"/>
      <c r="CT310" s="161"/>
      <c r="CU310" s="161"/>
      <c r="CV310" s="161"/>
      <c r="CW310" s="161"/>
      <c r="CX310" s="161"/>
      <c r="CY310" s="161"/>
      <c r="CZ310" s="161"/>
      <c r="DA310" s="161"/>
      <c r="DB310" s="161"/>
      <c r="DC310" s="161"/>
      <c r="DD310" s="161"/>
      <c r="DE310" s="161"/>
      <c r="DF310" s="161"/>
      <c r="DG310" s="161"/>
      <c r="DH310" s="161"/>
      <c r="DI310" s="161"/>
      <c r="DJ310" s="161"/>
      <c r="DK310" s="161"/>
      <c r="DL310" s="161"/>
      <c r="DM310" s="161"/>
      <c r="DN310" s="161"/>
      <c r="DO310" s="161"/>
      <c r="DP310" s="161"/>
      <c r="DQ310" s="161"/>
      <c r="DR310" s="161"/>
      <c r="DS310" s="161"/>
      <c r="DT310" s="161"/>
      <c r="DU310" s="161"/>
      <c r="DV310" s="161"/>
      <c r="DW310" s="161"/>
      <c r="DX310" s="161"/>
      <c r="DY310" s="161"/>
      <c r="DZ310" s="161"/>
      <c r="EA310" s="161"/>
      <c r="EB310" s="174"/>
    </row>
    <row r="311" spans="67:132">
      <c r="BO311" s="161"/>
      <c r="BP311" s="161"/>
      <c r="BQ311" s="161"/>
      <c r="BR311" s="161"/>
      <c r="BS311" s="161"/>
      <c r="BT311" s="161"/>
      <c r="BU311" s="161"/>
      <c r="BV311" s="161"/>
      <c r="BW311" s="161"/>
      <c r="BX311" s="161"/>
      <c r="BY311" s="161"/>
      <c r="BZ311" s="161"/>
      <c r="CA311" s="161"/>
      <c r="CB311" s="161"/>
      <c r="CC311" s="161"/>
      <c r="CD311" s="161"/>
      <c r="CE311" s="161"/>
      <c r="CF311" s="161"/>
      <c r="CG311" s="161"/>
      <c r="CH311" s="161"/>
      <c r="CI311" s="161"/>
      <c r="CJ311" s="161"/>
      <c r="CK311" s="161"/>
      <c r="CL311" s="161"/>
      <c r="CM311" s="161"/>
      <c r="CN311" s="161"/>
      <c r="CO311" s="161"/>
      <c r="CP311" s="161"/>
      <c r="CQ311" s="161"/>
      <c r="CR311" s="161"/>
      <c r="CS311" s="161"/>
      <c r="CT311" s="161"/>
      <c r="CU311" s="161"/>
      <c r="CV311" s="161"/>
      <c r="CW311" s="161"/>
      <c r="CX311" s="161"/>
      <c r="CY311" s="161"/>
      <c r="CZ311" s="161"/>
      <c r="DA311" s="161"/>
      <c r="DB311" s="161"/>
      <c r="DC311" s="161"/>
      <c r="DD311" s="161"/>
      <c r="DE311" s="161"/>
      <c r="DF311" s="161"/>
      <c r="DG311" s="161"/>
      <c r="DH311" s="161"/>
      <c r="DI311" s="161"/>
      <c r="DJ311" s="161"/>
      <c r="DK311" s="161"/>
      <c r="DL311" s="161"/>
      <c r="DM311" s="161"/>
      <c r="DN311" s="161"/>
      <c r="DO311" s="161"/>
      <c r="DP311" s="161"/>
      <c r="DQ311" s="161"/>
      <c r="DR311" s="161"/>
      <c r="DS311" s="161"/>
      <c r="DT311" s="161"/>
      <c r="DU311" s="161"/>
      <c r="DV311" s="161"/>
      <c r="DW311" s="161"/>
      <c r="DX311" s="161"/>
      <c r="DY311" s="161"/>
      <c r="DZ311" s="161"/>
      <c r="EA311" s="161"/>
      <c r="EB311" s="174"/>
    </row>
    <row r="312" spans="67:132">
      <c r="BO312" s="161"/>
      <c r="BP312" s="161"/>
      <c r="BQ312" s="161"/>
      <c r="BR312" s="161"/>
      <c r="BS312" s="161"/>
      <c r="BT312" s="161"/>
      <c r="BU312" s="161"/>
      <c r="BV312" s="161"/>
      <c r="BW312" s="161"/>
      <c r="BX312" s="161"/>
      <c r="BY312" s="161"/>
      <c r="BZ312" s="161"/>
      <c r="CA312" s="161"/>
      <c r="CB312" s="161"/>
      <c r="CC312" s="161"/>
      <c r="CD312" s="161"/>
      <c r="CE312" s="161"/>
      <c r="CF312" s="161"/>
      <c r="CG312" s="161"/>
      <c r="CH312" s="161"/>
      <c r="CI312" s="161"/>
      <c r="CJ312" s="161"/>
      <c r="CK312" s="161"/>
      <c r="CL312" s="161"/>
      <c r="CM312" s="161"/>
      <c r="CN312" s="161"/>
      <c r="CO312" s="161"/>
      <c r="CP312" s="161"/>
      <c r="CQ312" s="161"/>
      <c r="CR312" s="161"/>
      <c r="CS312" s="161"/>
      <c r="CT312" s="161"/>
      <c r="CU312" s="161"/>
      <c r="CV312" s="161"/>
      <c r="CW312" s="161"/>
      <c r="CX312" s="161"/>
      <c r="CY312" s="161"/>
      <c r="CZ312" s="161"/>
      <c r="DA312" s="161"/>
      <c r="DB312" s="161"/>
      <c r="DC312" s="161"/>
      <c r="DD312" s="161"/>
      <c r="DE312" s="161"/>
      <c r="DF312" s="161"/>
      <c r="DG312" s="161"/>
      <c r="DH312" s="161"/>
      <c r="DI312" s="161"/>
      <c r="DJ312" s="161"/>
      <c r="DK312" s="161"/>
      <c r="DL312" s="161"/>
      <c r="DM312" s="161"/>
      <c r="DN312" s="161"/>
      <c r="DO312" s="161"/>
      <c r="DP312" s="161"/>
      <c r="DQ312" s="161"/>
      <c r="DR312" s="161"/>
      <c r="DS312" s="161"/>
      <c r="DT312" s="161"/>
      <c r="DU312" s="161"/>
      <c r="DV312" s="161"/>
      <c r="DW312" s="161"/>
      <c r="DX312" s="161"/>
      <c r="DY312" s="161"/>
      <c r="DZ312" s="161"/>
      <c r="EA312" s="161"/>
      <c r="EB312" s="174"/>
    </row>
    <row r="313" spans="67:132">
      <c r="BO313" s="161"/>
      <c r="BP313" s="161"/>
      <c r="BQ313" s="161"/>
      <c r="BR313" s="161"/>
      <c r="BS313" s="161"/>
      <c r="BT313" s="161"/>
      <c r="BU313" s="161"/>
      <c r="BV313" s="161"/>
      <c r="BW313" s="161"/>
      <c r="BX313" s="161"/>
      <c r="BY313" s="161"/>
      <c r="BZ313" s="161"/>
      <c r="CA313" s="161"/>
      <c r="CB313" s="161"/>
      <c r="CC313" s="161"/>
      <c r="CD313" s="161"/>
      <c r="CE313" s="161"/>
      <c r="CF313" s="161"/>
      <c r="CG313" s="161"/>
      <c r="CH313" s="161"/>
      <c r="CI313" s="161"/>
      <c r="CJ313" s="161"/>
      <c r="CK313" s="161"/>
      <c r="CL313" s="161"/>
      <c r="CM313" s="161"/>
      <c r="CN313" s="161"/>
      <c r="CO313" s="161"/>
      <c r="CP313" s="161"/>
      <c r="CQ313" s="161"/>
      <c r="CR313" s="161"/>
      <c r="CS313" s="161"/>
      <c r="CT313" s="161"/>
      <c r="CU313" s="161"/>
      <c r="CV313" s="161"/>
      <c r="CW313" s="161"/>
      <c r="CX313" s="161"/>
      <c r="CY313" s="161"/>
      <c r="CZ313" s="161"/>
      <c r="DA313" s="161"/>
      <c r="DB313" s="161"/>
      <c r="DC313" s="161"/>
      <c r="DD313" s="161"/>
      <c r="DE313" s="161"/>
      <c r="DF313" s="161"/>
      <c r="DG313" s="161"/>
      <c r="DH313" s="161"/>
      <c r="DI313" s="161"/>
      <c r="DJ313" s="161"/>
      <c r="DK313" s="161"/>
      <c r="DL313" s="161"/>
      <c r="DM313" s="161"/>
      <c r="DN313" s="161"/>
      <c r="DO313" s="161"/>
      <c r="DP313" s="161"/>
      <c r="DQ313" s="161"/>
      <c r="DR313" s="161"/>
      <c r="DS313" s="161"/>
      <c r="DT313" s="161"/>
      <c r="DU313" s="161"/>
      <c r="DV313" s="161"/>
      <c r="DW313" s="161"/>
      <c r="DX313" s="161"/>
      <c r="DY313" s="161"/>
      <c r="DZ313" s="161"/>
      <c r="EA313" s="161"/>
      <c r="EB313" s="174"/>
    </row>
    <row r="314" spans="67:132">
      <c r="BO314" s="161"/>
      <c r="BP314" s="161"/>
      <c r="BQ314" s="161"/>
      <c r="BR314" s="161"/>
      <c r="BS314" s="161"/>
      <c r="BT314" s="161"/>
      <c r="BU314" s="161"/>
      <c r="BV314" s="161"/>
      <c r="BW314" s="161"/>
      <c r="BX314" s="161"/>
      <c r="BY314" s="161"/>
      <c r="BZ314" s="161"/>
      <c r="CA314" s="161"/>
      <c r="CB314" s="161"/>
      <c r="CC314" s="161"/>
      <c r="CD314" s="161"/>
      <c r="CE314" s="161"/>
      <c r="CF314" s="161"/>
      <c r="CG314" s="161"/>
      <c r="CH314" s="161"/>
      <c r="CI314" s="161"/>
      <c r="CJ314" s="161"/>
      <c r="CK314" s="161"/>
      <c r="CL314" s="161"/>
      <c r="CM314" s="161"/>
      <c r="CN314" s="161"/>
      <c r="CO314" s="161"/>
      <c r="CP314" s="161"/>
      <c r="CQ314" s="161"/>
      <c r="CR314" s="161"/>
      <c r="CS314" s="161"/>
      <c r="CT314" s="161"/>
      <c r="CU314" s="161"/>
      <c r="CV314" s="161"/>
      <c r="CW314" s="161"/>
      <c r="CX314" s="161"/>
      <c r="CY314" s="161"/>
      <c r="CZ314" s="161"/>
      <c r="DA314" s="161"/>
      <c r="DB314" s="161"/>
      <c r="DC314" s="161"/>
      <c r="DD314" s="161"/>
      <c r="DE314" s="161"/>
      <c r="DF314" s="161"/>
      <c r="DG314" s="161"/>
      <c r="DH314" s="161"/>
      <c r="DI314" s="161"/>
      <c r="DJ314" s="161"/>
      <c r="DK314" s="161"/>
      <c r="DL314" s="161"/>
      <c r="DM314" s="161"/>
      <c r="DN314" s="161"/>
      <c r="DO314" s="161"/>
      <c r="DP314" s="161"/>
      <c r="DQ314" s="161"/>
      <c r="DR314" s="161"/>
      <c r="DS314" s="161"/>
      <c r="DT314" s="161"/>
      <c r="DU314" s="161"/>
      <c r="DV314" s="161"/>
      <c r="DW314" s="161"/>
      <c r="DX314" s="161"/>
      <c r="DY314" s="161"/>
      <c r="DZ314" s="161"/>
      <c r="EA314" s="161"/>
      <c r="EB314" s="174"/>
    </row>
    <row r="315" spans="67:132">
      <c r="BO315" s="161"/>
      <c r="BP315" s="161"/>
      <c r="BQ315" s="161"/>
      <c r="BR315" s="161"/>
      <c r="BS315" s="161"/>
      <c r="BT315" s="161"/>
      <c r="BU315" s="161"/>
      <c r="BV315" s="161"/>
      <c r="BW315" s="161"/>
      <c r="BX315" s="161"/>
      <c r="BY315" s="161"/>
      <c r="BZ315" s="161"/>
      <c r="CA315" s="161"/>
      <c r="CB315" s="161"/>
      <c r="CC315" s="161"/>
      <c r="CD315" s="161"/>
      <c r="CE315" s="161"/>
      <c r="CF315" s="161"/>
      <c r="CG315" s="161"/>
      <c r="CH315" s="161"/>
      <c r="CI315" s="161"/>
      <c r="CJ315" s="161"/>
      <c r="CK315" s="161"/>
      <c r="CL315" s="161"/>
      <c r="CM315" s="161"/>
      <c r="CN315" s="161"/>
      <c r="CO315" s="161"/>
      <c r="CP315" s="161"/>
      <c r="CQ315" s="161"/>
      <c r="CR315" s="161"/>
      <c r="CS315" s="161"/>
      <c r="CT315" s="161"/>
      <c r="CU315" s="161"/>
      <c r="CV315" s="161"/>
      <c r="CW315" s="161"/>
      <c r="CX315" s="161"/>
      <c r="CY315" s="161"/>
      <c r="CZ315" s="161"/>
      <c r="DA315" s="161"/>
      <c r="DB315" s="161"/>
      <c r="DC315" s="161"/>
      <c r="DD315" s="161"/>
      <c r="DE315" s="161"/>
      <c r="DF315" s="161"/>
      <c r="DG315" s="161"/>
      <c r="DH315" s="161"/>
      <c r="DI315" s="161"/>
      <c r="DJ315" s="161"/>
      <c r="DK315" s="161"/>
      <c r="DL315" s="161"/>
      <c r="DM315" s="161"/>
      <c r="DN315" s="161"/>
      <c r="DO315" s="161"/>
      <c r="DP315" s="161"/>
      <c r="DQ315" s="161"/>
      <c r="DR315" s="161"/>
      <c r="DS315" s="161"/>
      <c r="DT315" s="161"/>
      <c r="DU315" s="161"/>
      <c r="DV315" s="161"/>
      <c r="DW315" s="161"/>
      <c r="DX315" s="161"/>
      <c r="DY315" s="161"/>
      <c r="DZ315" s="161"/>
      <c r="EA315" s="161"/>
      <c r="EB315" s="174"/>
    </row>
    <row r="316" spans="67:132">
      <c r="BO316" s="161"/>
      <c r="BP316" s="161"/>
      <c r="BQ316" s="161"/>
      <c r="BR316" s="161"/>
      <c r="BS316" s="161"/>
      <c r="BT316" s="161"/>
      <c r="BU316" s="161"/>
      <c r="BV316" s="161"/>
      <c r="BW316" s="161"/>
      <c r="BX316" s="161"/>
      <c r="BY316" s="161"/>
      <c r="BZ316" s="161"/>
      <c r="CA316" s="161"/>
      <c r="CB316" s="161"/>
      <c r="CC316" s="161"/>
      <c r="CD316" s="161"/>
      <c r="CE316" s="161"/>
      <c r="CF316" s="161"/>
      <c r="CG316" s="161"/>
      <c r="CH316" s="161"/>
      <c r="CI316" s="161"/>
      <c r="CJ316" s="161"/>
      <c r="CK316" s="161"/>
      <c r="CL316" s="161"/>
      <c r="CM316" s="161"/>
      <c r="CN316" s="161"/>
      <c r="CO316" s="161"/>
      <c r="CP316" s="161"/>
      <c r="CQ316" s="161"/>
      <c r="CR316" s="161"/>
      <c r="CS316" s="161"/>
      <c r="CT316" s="161"/>
      <c r="CU316" s="161"/>
      <c r="CV316" s="161"/>
      <c r="CW316" s="161"/>
      <c r="CX316" s="161"/>
      <c r="CY316" s="161"/>
      <c r="CZ316" s="161"/>
      <c r="DA316" s="161"/>
      <c r="DB316" s="161"/>
      <c r="DC316" s="161"/>
      <c r="DD316" s="161"/>
      <c r="DE316" s="161"/>
      <c r="DF316" s="161"/>
      <c r="DG316" s="161"/>
      <c r="DH316" s="161"/>
      <c r="DI316" s="161"/>
      <c r="DJ316" s="161"/>
      <c r="DK316" s="161"/>
      <c r="DL316" s="161"/>
      <c r="DM316" s="161"/>
      <c r="DN316" s="161"/>
      <c r="DO316" s="161"/>
      <c r="DP316" s="161"/>
      <c r="DQ316" s="161"/>
      <c r="DR316" s="161"/>
      <c r="DS316" s="161"/>
      <c r="DT316" s="161"/>
      <c r="DU316" s="161"/>
      <c r="DV316" s="161"/>
      <c r="DW316" s="161"/>
      <c r="DX316" s="161"/>
      <c r="DY316" s="161"/>
      <c r="DZ316" s="161"/>
      <c r="EA316" s="161"/>
      <c r="EB316" s="174"/>
    </row>
    <row r="317" spans="67:132">
      <c r="BO317" s="161"/>
      <c r="BP317" s="161"/>
      <c r="BQ317" s="161"/>
      <c r="BR317" s="161"/>
      <c r="BS317" s="161"/>
      <c r="BT317" s="161"/>
      <c r="BU317" s="161"/>
      <c r="BV317" s="161"/>
      <c r="BW317" s="161"/>
      <c r="BX317" s="161"/>
      <c r="BY317" s="161"/>
      <c r="BZ317" s="161"/>
      <c r="CA317" s="161"/>
      <c r="CB317" s="161"/>
      <c r="CC317" s="161"/>
      <c r="CD317" s="161"/>
      <c r="CE317" s="161"/>
      <c r="CF317" s="161"/>
      <c r="CG317" s="161"/>
      <c r="CH317" s="161"/>
      <c r="CI317" s="161"/>
      <c r="CJ317" s="161"/>
      <c r="CK317" s="161"/>
      <c r="CL317" s="161"/>
      <c r="CM317" s="161"/>
      <c r="CN317" s="161"/>
      <c r="CO317" s="161"/>
      <c r="CP317" s="161"/>
      <c r="CQ317" s="161"/>
      <c r="CR317" s="161"/>
      <c r="CS317" s="161"/>
      <c r="CT317" s="161"/>
      <c r="CU317" s="161"/>
      <c r="CV317" s="161"/>
      <c r="CW317" s="161"/>
      <c r="CX317" s="161"/>
      <c r="CY317" s="161"/>
      <c r="CZ317" s="161"/>
      <c r="DA317" s="161"/>
      <c r="DB317" s="161"/>
      <c r="DC317" s="161"/>
      <c r="DD317" s="161"/>
      <c r="DE317" s="161"/>
      <c r="DF317" s="161"/>
      <c r="DG317" s="161"/>
      <c r="DH317" s="161"/>
      <c r="DI317" s="161"/>
      <c r="DJ317" s="161"/>
      <c r="DK317" s="161"/>
      <c r="DL317" s="161"/>
      <c r="DM317" s="161"/>
      <c r="DN317" s="161"/>
      <c r="DO317" s="161"/>
      <c r="DP317" s="161"/>
      <c r="DQ317" s="161"/>
      <c r="DR317" s="161"/>
      <c r="DS317" s="161"/>
      <c r="DT317" s="161"/>
      <c r="DU317" s="161"/>
      <c r="DV317" s="161"/>
      <c r="DW317" s="161"/>
      <c r="DX317" s="161"/>
      <c r="DY317" s="161"/>
      <c r="DZ317" s="161"/>
      <c r="EA317" s="161"/>
      <c r="EB317" s="174"/>
    </row>
    <row r="318" spans="67:132">
      <c r="BO318" s="161"/>
      <c r="BP318" s="161"/>
      <c r="BQ318" s="161"/>
      <c r="BR318" s="161"/>
      <c r="BS318" s="161"/>
      <c r="BT318" s="161"/>
      <c r="BU318" s="161"/>
      <c r="BV318" s="161"/>
      <c r="BW318" s="161"/>
      <c r="BX318" s="161"/>
      <c r="BY318" s="161"/>
      <c r="BZ318" s="161"/>
      <c r="CA318" s="161"/>
      <c r="CB318" s="161"/>
      <c r="CC318" s="161"/>
      <c r="CD318" s="161"/>
      <c r="CE318" s="161"/>
      <c r="CF318" s="161"/>
      <c r="CG318" s="161"/>
      <c r="CH318" s="161"/>
      <c r="CI318" s="161"/>
      <c r="CJ318" s="161"/>
      <c r="CK318" s="161"/>
      <c r="CL318" s="161"/>
      <c r="CM318" s="161"/>
      <c r="CN318" s="161"/>
      <c r="CO318" s="161"/>
      <c r="CP318" s="161"/>
      <c r="CQ318" s="161"/>
      <c r="CR318" s="161"/>
      <c r="CS318" s="161"/>
      <c r="CT318" s="161"/>
      <c r="CU318" s="161"/>
      <c r="CV318" s="161"/>
      <c r="CW318" s="161"/>
      <c r="CX318" s="161"/>
      <c r="CY318" s="161"/>
      <c r="CZ318" s="161"/>
      <c r="DA318" s="161"/>
      <c r="DB318" s="161"/>
      <c r="DC318" s="161"/>
      <c r="DD318" s="161"/>
      <c r="DE318" s="161"/>
      <c r="DF318" s="161"/>
      <c r="DG318" s="161"/>
      <c r="DH318" s="161"/>
      <c r="DI318" s="161"/>
      <c r="DJ318" s="161"/>
      <c r="DK318" s="161"/>
      <c r="DL318" s="161"/>
      <c r="DM318" s="161"/>
      <c r="DN318" s="161"/>
      <c r="DO318" s="161"/>
      <c r="DP318" s="161"/>
      <c r="DQ318" s="161"/>
      <c r="DR318" s="161"/>
      <c r="DS318" s="161"/>
      <c r="DT318" s="161"/>
      <c r="DU318" s="161"/>
      <c r="DV318" s="161"/>
      <c r="DW318" s="161"/>
      <c r="DX318" s="161"/>
      <c r="DY318" s="161"/>
      <c r="DZ318" s="161"/>
      <c r="EA318" s="161"/>
      <c r="EB318" s="174"/>
    </row>
    <row r="319" spans="67:132">
      <c r="BO319" s="161"/>
      <c r="BP319" s="161"/>
      <c r="BQ319" s="161"/>
      <c r="BR319" s="161"/>
      <c r="BS319" s="161"/>
      <c r="BT319" s="161"/>
      <c r="BU319" s="161"/>
      <c r="BV319" s="161"/>
      <c r="BW319" s="161"/>
      <c r="BX319" s="161"/>
      <c r="BY319" s="161"/>
      <c r="BZ319" s="161"/>
      <c r="CA319" s="161"/>
      <c r="CB319" s="161"/>
      <c r="CC319" s="161"/>
      <c r="CD319" s="161"/>
      <c r="CE319" s="161"/>
      <c r="CF319" s="161"/>
      <c r="CG319" s="161"/>
      <c r="CH319" s="161"/>
      <c r="CI319" s="161"/>
      <c r="CJ319" s="161"/>
      <c r="CK319" s="161"/>
      <c r="CL319" s="161"/>
      <c r="CM319" s="161"/>
      <c r="CN319" s="161"/>
      <c r="CO319" s="161"/>
      <c r="CP319" s="161"/>
      <c r="CQ319" s="161"/>
      <c r="CR319" s="161"/>
      <c r="CS319" s="161"/>
      <c r="CT319" s="161"/>
      <c r="CU319" s="161"/>
      <c r="CV319" s="161"/>
      <c r="CW319" s="161"/>
      <c r="CX319" s="161"/>
      <c r="CY319" s="161"/>
      <c r="CZ319" s="161"/>
      <c r="DA319" s="161"/>
      <c r="DB319" s="161"/>
      <c r="DC319" s="161"/>
      <c r="DD319" s="161"/>
      <c r="DE319" s="161"/>
      <c r="DF319" s="161"/>
      <c r="DG319" s="161"/>
      <c r="DH319" s="161"/>
      <c r="DI319" s="161"/>
      <c r="DJ319" s="161"/>
      <c r="DK319" s="161"/>
      <c r="DL319" s="161"/>
      <c r="DM319" s="161"/>
      <c r="DN319" s="161"/>
      <c r="DO319" s="161"/>
      <c r="DP319" s="161"/>
      <c r="DQ319" s="161"/>
      <c r="DR319" s="161"/>
      <c r="DS319" s="161"/>
      <c r="DT319" s="161"/>
      <c r="DU319" s="161"/>
      <c r="DV319" s="161"/>
      <c r="DW319" s="161"/>
      <c r="DX319" s="161"/>
      <c r="DY319" s="161"/>
      <c r="DZ319" s="161"/>
      <c r="EA319" s="161"/>
      <c r="EB319" s="174"/>
    </row>
    <row r="320" spans="67:132">
      <c r="BO320" s="161"/>
      <c r="BP320" s="161"/>
      <c r="BQ320" s="161"/>
      <c r="BR320" s="161"/>
      <c r="BS320" s="161"/>
      <c r="BT320" s="161"/>
      <c r="BU320" s="161"/>
      <c r="BV320" s="161"/>
      <c r="BW320" s="161"/>
      <c r="BX320" s="161"/>
      <c r="BY320" s="161"/>
      <c r="BZ320" s="161"/>
      <c r="CA320" s="161"/>
      <c r="CB320" s="161"/>
      <c r="CC320" s="161"/>
      <c r="CD320" s="161"/>
      <c r="CE320" s="161"/>
      <c r="CF320" s="161"/>
      <c r="CG320" s="161"/>
      <c r="CH320" s="161"/>
      <c r="CI320" s="161"/>
      <c r="CJ320" s="161"/>
      <c r="CK320" s="161"/>
      <c r="CL320" s="161"/>
      <c r="CM320" s="161"/>
      <c r="CN320" s="161"/>
      <c r="CO320" s="161"/>
      <c r="CP320" s="161"/>
      <c r="CQ320" s="161"/>
      <c r="CR320" s="161"/>
      <c r="CS320" s="161"/>
      <c r="CT320" s="161"/>
      <c r="CU320" s="161"/>
      <c r="CV320" s="161"/>
      <c r="CW320" s="161"/>
      <c r="CX320" s="161"/>
      <c r="CY320" s="161"/>
      <c r="CZ320" s="161"/>
      <c r="DA320" s="161"/>
      <c r="DB320" s="161"/>
      <c r="DC320" s="161"/>
      <c r="DD320" s="161"/>
      <c r="DE320" s="161"/>
      <c r="DF320" s="161"/>
      <c r="DG320" s="161"/>
      <c r="DH320" s="161"/>
      <c r="DI320" s="161"/>
      <c r="DJ320" s="161"/>
      <c r="DK320" s="161"/>
      <c r="DL320" s="161"/>
      <c r="DM320" s="161"/>
      <c r="DN320" s="161"/>
      <c r="DO320" s="161"/>
      <c r="DP320" s="161"/>
      <c r="DQ320" s="161"/>
      <c r="DR320" s="161"/>
      <c r="DS320" s="161"/>
      <c r="DT320" s="161"/>
      <c r="DU320" s="161"/>
      <c r="DV320" s="161"/>
      <c r="DW320" s="161"/>
      <c r="DX320" s="161"/>
      <c r="DY320" s="161"/>
      <c r="DZ320" s="161"/>
      <c r="EA320" s="161"/>
      <c r="EB320" s="174"/>
    </row>
    <row r="321" spans="67:132">
      <c r="BO321" s="161"/>
      <c r="BP321" s="161"/>
      <c r="BQ321" s="161"/>
      <c r="BR321" s="161"/>
      <c r="BS321" s="161"/>
      <c r="BT321" s="161"/>
      <c r="BU321" s="161"/>
      <c r="BV321" s="161"/>
      <c r="BW321" s="161"/>
      <c r="BX321" s="161"/>
      <c r="BY321" s="161"/>
      <c r="BZ321" s="161"/>
      <c r="CA321" s="161"/>
      <c r="CB321" s="161"/>
      <c r="CC321" s="161"/>
      <c r="CD321" s="161"/>
      <c r="CE321" s="161"/>
      <c r="CF321" s="161"/>
      <c r="CG321" s="161"/>
      <c r="CH321" s="161"/>
      <c r="CI321" s="161"/>
      <c r="CJ321" s="161"/>
      <c r="CK321" s="161"/>
      <c r="CL321" s="161"/>
      <c r="CM321" s="161"/>
      <c r="CN321" s="161"/>
      <c r="CO321" s="161"/>
      <c r="CP321" s="161"/>
      <c r="CQ321" s="161"/>
      <c r="CR321" s="161"/>
      <c r="CS321" s="161"/>
      <c r="CT321" s="161"/>
      <c r="CU321" s="161"/>
      <c r="CV321" s="161"/>
      <c r="CW321" s="161"/>
      <c r="CX321" s="161"/>
      <c r="CY321" s="161"/>
      <c r="CZ321" s="161"/>
      <c r="DA321" s="161"/>
      <c r="DB321" s="161"/>
      <c r="DC321" s="161"/>
      <c r="DD321" s="161"/>
      <c r="DE321" s="161"/>
      <c r="DF321" s="161"/>
      <c r="DG321" s="161"/>
      <c r="DH321" s="161"/>
      <c r="DI321" s="161"/>
      <c r="DJ321" s="161"/>
      <c r="DK321" s="161"/>
      <c r="DL321" s="161"/>
      <c r="DM321" s="161"/>
      <c r="DN321" s="161"/>
      <c r="DO321" s="161"/>
      <c r="DP321" s="161"/>
      <c r="DQ321" s="161"/>
      <c r="DR321" s="161"/>
      <c r="DS321" s="161"/>
      <c r="DT321" s="161"/>
      <c r="DU321" s="161"/>
      <c r="DV321" s="161"/>
      <c r="DW321" s="161"/>
      <c r="DX321" s="161"/>
      <c r="DY321" s="161"/>
      <c r="DZ321" s="161"/>
      <c r="EA321" s="161"/>
      <c r="EB321" s="174"/>
    </row>
    <row r="322" spans="67:132">
      <c r="BO322" s="161"/>
      <c r="BP322" s="161"/>
      <c r="BQ322" s="161"/>
      <c r="BR322" s="161"/>
      <c r="BS322" s="161"/>
      <c r="BT322" s="161"/>
      <c r="BU322" s="161"/>
      <c r="BV322" s="161"/>
      <c r="BW322" s="161"/>
      <c r="BX322" s="161"/>
      <c r="BY322" s="161"/>
      <c r="BZ322" s="161"/>
      <c r="CA322" s="161"/>
      <c r="CB322" s="161"/>
      <c r="CC322" s="161"/>
      <c r="CD322" s="161"/>
      <c r="CE322" s="161"/>
      <c r="CF322" s="161"/>
      <c r="CG322" s="161"/>
      <c r="CH322" s="161"/>
      <c r="CI322" s="161"/>
      <c r="CJ322" s="161"/>
      <c r="CK322" s="161"/>
      <c r="CL322" s="161"/>
      <c r="CM322" s="161"/>
      <c r="CN322" s="161"/>
      <c r="CO322" s="161"/>
      <c r="CP322" s="161"/>
      <c r="CQ322" s="161"/>
      <c r="CR322" s="161"/>
      <c r="CS322" s="161"/>
      <c r="CT322" s="161"/>
      <c r="CU322" s="161"/>
      <c r="CV322" s="161"/>
      <c r="CW322" s="161"/>
      <c r="CX322" s="161"/>
      <c r="CY322" s="161"/>
      <c r="CZ322" s="161"/>
      <c r="DA322" s="161"/>
      <c r="DB322" s="161"/>
      <c r="DC322" s="161"/>
      <c r="DD322" s="161"/>
      <c r="DE322" s="161"/>
      <c r="DF322" s="161"/>
      <c r="DG322" s="161"/>
      <c r="DH322" s="161"/>
      <c r="DI322" s="161"/>
      <c r="DJ322" s="161"/>
      <c r="DK322" s="161"/>
      <c r="DL322" s="161"/>
      <c r="DM322" s="161"/>
      <c r="DN322" s="161"/>
      <c r="DO322" s="161"/>
      <c r="DP322" s="161"/>
      <c r="DQ322" s="161"/>
      <c r="DR322" s="161"/>
      <c r="DS322" s="161"/>
      <c r="DT322" s="161"/>
      <c r="DU322" s="161"/>
      <c r="DV322" s="161"/>
      <c r="DW322" s="161"/>
      <c r="DX322" s="161"/>
      <c r="DY322" s="161"/>
      <c r="DZ322" s="161"/>
      <c r="EA322" s="161"/>
      <c r="EB322" s="174"/>
    </row>
    <row r="323" spans="67:132">
      <c r="BO323" s="161"/>
      <c r="BP323" s="161"/>
      <c r="BQ323" s="161"/>
      <c r="BR323" s="161"/>
      <c r="BS323" s="161"/>
      <c r="BT323" s="161"/>
      <c r="BU323" s="161"/>
      <c r="BV323" s="161"/>
      <c r="BW323" s="161"/>
      <c r="BX323" s="161"/>
      <c r="BY323" s="161"/>
      <c r="BZ323" s="161"/>
      <c r="CA323" s="161"/>
      <c r="CB323" s="161"/>
      <c r="CC323" s="161"/>
      <c r="CD323" s="161"/>
      <c r="CE323" s="161"/>
      <c r="CF323" s="161"/>
      <c r="CG323" s="161"/>
      <c r="CH323" s="161"/>
      <c r="CI323" s="161"/>
      <c r="CJ323" s="161"/>
      <c r="CK323" s="161"/>
      <c r="CL323" s="161"/>
      <c r="CM323" s="161"/>
      <c r="CN323" s="161"/>
      <c r="CO323" s="161"/>
      <c r="CP323" s="161"/>
      <c r="CQ323" s="161"/>
      <c r="CR323" s="161"/>
      <c r="CS323" s="161"/>
      <c r="CT323" s="161"/>
      <c r="CU323" s="161"/>
      <c r="CV323" s="161"/>
      <c r="CW323" s="161"/>
      <c r="CX323" s="161"/>
      <c r="CY323" s="161"/>
      <c r="CZ323" s="161"/>
      <c r="DA323" s="161"/>
      <c r="DB323" s="161"/>
      <c r="DC323" s="161"/>
      <c r="DD323" s="161"/>
      <c r="DE323" s="161"/>
      <c r="DF323" s="161"/>
      <c r="DG323" s="161"/>
      <c r="DH323" s="161"/>
      <c r="DI323" s="161"/>
      <c r="DJ323" s="161"/>
      <c r="DK323" s="161"/>
      <c r="DL323" s="161"/>
      <c r="DM323" s="161"/>
      <c r="DN323" s="161"/>
      <c r="DO323" s="161"/>
      <c r="DP323" s="161"/>
      <c r="DQ323" s="161"/>
      <c r="DR323" s="161"/>
      <c r="DS323" s="161"/>
      <c r="DT323" s="161"/>
      <c r="DU323" s="161"/>
      <c r="DV323" s="161"/>
      <c r="DW323" s="161"/>
      <c r="DX323" s="161"/>
      <c r="DY323" s="161"/>
      <c r="DZ323" s="161"/>
      <c r="EA323" s="161"/>
      <c r="EB323" s="174"/>
    </row>
    <row r="324" spans="67:132">
      <c r="BO324" s="161"/>
      <c r="BP324" s="161"/>
      <c r="BQ324" s="161"/>
      <c r="BR324" s="161"/>
      <c r="BS324" s="161"/>
      <c r="BT324" s="161"/>
      <c r="BU324" s="161"/>
      <c r="BV324" s="161"/>
      <c r="BW324" s="161"/>
      <c r="BX324" s="161"/>
      <c r="BY324" s="161"/>
      <c r="BZ324" s="161"/>
      <c r="CA324" s="161"/>
      <c r="CB324" s="161"/>
      <c r="CC324" s="161"/>
      <c r="CD324" s="161"/>
      <c r="CE324" s="161"/>
      <c r="CF324" s="161"/>
      <c r="CG324" s="161"/>
      <c r="CH324" s="161"/>
      <c r="CI324" s="161"/>
      <c r="CJ324" s="161"/>
      <c r="CK324" s="161"/>
      <c r="CL324" s="161"/>
      <c r="CM324" s="161"/>
      <c r="CN324" s="161"/>
      <c r="CO324" s="161"/>
      <c r="CP324" s="161"/>
      <c r="CQ324" s="161"/>
      <c r="CR324" s="161"/>
      <c r="CS324" s="161"/>
      <c r="CT324" s="161"/>
      <c r="CU324" s="161"/>
      <c r="CV324" s="161"/>
      <c r="CW324" s="161"/>
      <c r="CX324" s="161"/>
      <c r="CY324" s="161"/>
      <c r="CZ324" s="161"/>
      <c r="DA324" s="161"/>
      <c r="DB324" s="161"/>
      <c r="DC324" s="161"/>
      <c r="DD324" s="161"/>
      <c r="DE324" s="161"/>
      <c r="DF324" s="161"/>
      <c r="DG324" s="161"/>
      <c r="DH324" s="161"/>
      <c r="DI324" s="161"/>
      <c r="DJ324" s="161"/>
      <c r="DK324" s="161"/>
      <c r="DL324" s="161"/>
      <c r="DM324" s="161"/>
      <c r="DN324" s="161"/>
      <c r="DO324" s="161"/>
      <c r="DP324" s="161"/>
      <c r="DQ324" s="161"/>
      <c r="DR324" s="161"/>
      <c r="DS324" s="161"/>
      <c r="DT324" s="161"/>
      <c r="DU324" s="161"/>
      <c r="DV324" s="161"/>
      <c r="DW324" s="161"/>
      <c r="DX324" s="161"/>
      <c r="DY324" s="161"/>
      <c r="DZ324" s="161"/>
      <c r="EA324" s="161"/>
      <c r="EB324" s="174"/>
    </row>
    <row r="325" spans="67:132">
      <c r="BO325" s="161"/>
      <c r="BP325" s="161"/>
      <c r="BQ325" s="161"/>
      <c r="BR325" s="161"/>
      <c r="BS325" s="161"/>
      <c r="BT325" s="161"/>
      <c r="BU325" s="161"/>
      <c r="BV325" s="161"/>
      <c r="BW325" s="161"/>
      <c r="BX325" s="161"/>
      <c r="BY325" s="161"/>
      <c r="BZ325" s="161"/>
      <c r="CA325" s="161"/>
      <c r="CB325" s="161"/>
      <c r="CC325" s="161"/>
      <c r="CD325" s="161"/>
      <c r="CE325" s="161"/>
      <c r="CF325" s="161"/>
      <c r="CG325" s="161"/>
      <c r="CH325" s="161"/>
      <c r="CI325" s="161"/>
      <c r="CJ325" s="161"/>
      <c r="CK325" s="161"/>
      <c r="CL325" s="161"/>
      <c r="CM325" s="161"/>
      <c r="CN325" s="161"/>
      <c r="CO325" s="161"/>
      <c r="CP325" s="161"/>
      <c r="CQ325" s="161"/>
      <c r="CR325" s="161"/>
      <c r="CS325" s="161"/>
      <c r="CT325" s="161"/>
      <c r="CU325" s="161"/>
      <c r="CV325" s="161"/>
      <c r="CW325" s="161"/>
      <c r="CX325" s="161"/>
      <c r="CY325" s="161"/>
      <c r="CZ325" s="161"/>
      <c r="DA325" s="161"/>
      <c r="DB325" s="161"/>
      <c r="DC325" s="161"/>
      <c r="DD325" s="161"/>
      <c r="DE325" s="161"/>
      <c r="DF325" s="161"/>
      <c r="DG325" s="161"/>
      <c r="DH325" s="161"/>
      <c r="DI325" s="161"/>
      <c r="DJ325" s="161"/>
      <c r="DK325" s="161"/>
      <c r="DL325" s="161"/>
      <c r="DM325" s="161"/>
      <c r="DN325" s="161"/>
      <c r="DO325" s="161"/>
      <c r="DP325" s="161"/>
      <c r="DQ325" s="161"/>
      <c r="DR325" s="161"/>
      <c r="DS325" s="161"/>
      <c r="DT325" s="161"/>
      <c r="DU325" s="161"/>
      <c r="DV325" s="161"/>
      <c r="DW325" s="161"/>
      <c r="DX325" s="161"/>
      <c r="DY325" s="161"/>
      <c r="DZ325" s="161"/>
      <c r="EA325" s="161"/>
      <c r="EB325" s="174"/>
    </row>
    <row r="326" spans="67:132">
      <c r="BO326" s="161"/>
      <c r="BP326" s="161"/>
      <c r="BQ326" s="161"/>
      <c r="BR326" s="161"/>
      <c r="BS326" s="161"/>
      <c r="BT326" s="161"/>
      <c r="BU326" s="161"/>
      <c r="BV326" s="161"/>
      <c r="BW326" s="161"/>
      <c r="BX326" s="161"/>
      <c r="BY326" s="161"/>
      <c r="BZ326" s="161"/>
      <c r="CA326" s="161"/>
      <c r="CB326" s="161"/>
      <c r="CC326" s="161"/>
      <c r="CD326" s="161"/>
      <c r="CE326" s="161"/>
      <c r="CF326" s="161"/>
      <c r="CG326" s="161"/>
      <c r="CH326" s="161"/>
      <c r="CI326" s="161"/>
      <c r="CJ326" s="161"/>
      <c r="CK326" s="161"/>
      <c r="CL326" s="161"/>
      <c r="CM326" s="161"/>
      <c r="CN326" s="161"/>
      <c r="CO326" s="161"/>
      <c r="CP326" s="161"/>
      <c r="CQ326" s="161"/>
      <c r="CR326" s="161"/>
      <c r="CS326" s="161"/>
      <c r="CT326" s="161"/>
      <c r="CU326" s="161"/>
      <c r="CV326" s="161"/>
      <c r="CW326" s="161"/>
      <c r="CX326" s="161"/>
      <c r="CY326" s="161"/>
      <c r="CZ326" s="161"/>
      <c r="DA326" s="161"/>
      <c r="DB326" s="161"/>
      <c r="DC326" s="161"/>
      <c r="DD326" s="161"/>
      <c r="DE326" s="161"/>
      <c r="DF326" s="161"/>
      <c r="DG326" s="161"/>
      <c r="DH326" s="161"/>
      <c r="DI326" s="161"/>
      <c r="DJ326" s="161"/>
      <c r="DK326" s="161"/>
      <c r="DL326" s="161"/>
      <c r="DM326" s="161"/>
      <c r="DN326" s="161"/>
      <c r="DO326" s="161"/>
      <c r="DP326" s="161"/>
      <c r="DQ326" s="161"/>
      <c r="DR326" s="161"/>
      <c r="DS326" s="161"/>
      <c r="DT326" s="161"/>
      <c r="DU326" s="161"/>
      <c r="DV326" s="161"/>
      <c r="DW326" s="161"/>
      <c r="DX326" s="161"/>
      <c r="DY326" s="161"/>
      <c r="DZ326" s="161"/>
      <c r="EA326" s="161"/>
      <c r="EB326" s="174"/>
    </row>
    <row r="327" spans="67:132">
      <c r="BO327" s="161"/>
      <c r="BP327" s="161"/>
      <c r="BQ327" s="161"/>
      <c r="BR327" s="161"/>
      <c r="BS327" s="161"/>
      <c r="BT327" s="161"/>
      <c r="BU327" s="161"/>
      <c r="BV327" s="161"/>
      <c r="BW327" s="161"/>
      <c r="BX327" s="161"/>
      <c r="BY327" s="161"/>
      <c r="BZ327" s="161"/>
      <c r="CA327" s="161"/>
      <c r="CB327" s="161"/>
      <c r="CC327" s="161"/>
      <c r="CD327" s="161"/>
      <c r="CE327" s="161"/>
      <c r="CF327" s="161"/>
      <c r="CG327" s="161"/>
      <c r="CH327" s="161"/>
      <c r="CI327" s="161"/>
      <c r="CJ327" s="161"/>
      <c r="CK327" s="161"/>
      <c r="CL327" s="161"/>
      <c r="CM327" s="161"/>
      <c r="CN327" s="161"/>
      <c r="CO327" s="161"/>
      <c r="CP327" s="161"/>
      <c r="CQ327" s="161"/>
      <c r="CR327" s="161"/>
      <c r="CS327" s="161"/>
      <c r="CT327" s="161"/>
      <c r="CU327" s="161"/>
      <c r="CV327" s="161"/>
      <c r="CW327" s="161"/>
      <c r="CX327" s="161"/>
      <c r="CY327" s="161"/>
      <c r="CZ327" s="161"/>
      <c r="DA327" s="161"/>
      <c r="DB327" s="161"/>
      <c r="DC327" s="161"/>
      <c r="DD327" s="161"/>
      <c r="DE327" s="161"/>
      <c r="DF327" s="161"/>
      <c r="DG327" s="161"/>
      <c r="DH327" s="161"/>
      <c r="DI327" s="161"/>
      <c r="DJ327" s="161"/>
      <c r="DK327" s="161"/>
      <c r="DL327" s="161"/>
      <c r="DM327" s="161"/>
      <c r="DN327" s="161"/>
      <c r="DO327" s="161"/>
      <c r="DP327" s="161"/>
      <c r="DQ327" s="161"/>
      <c r="DR327" s="161"/>
      <c r="DS327" s="161"/>
      <c r="DT327" s="161"/>
      <c r="DU327" s="161"/>
      <c r="DV327" s="161"/>
      <c r="DW327" s="161"/>
      <c r="DX327" s="161"/>
      <c r="DY327" s="161"/>
      <c r="DZ327" s="161"/>
      <c r="EA327" s="161"/>
      <c r="EB327" s="174"/>
    </row>
    <row r="328" spans="67:132">
      <c r="BO328" s="161"/>
      <c r="BP328" s="161"/>
      <c r="BQ328" s="161"/>
      <c r="BR328" s="161"/>
      <c r="BS328" s="161"/>
      <c r="BT328" s="161"/>
      <c r="BU328" s="161"/>
      <c r="BV328" s="161"/>
      <c r="BW328" s="161"/>
      <c r="BX328" s="161"/>
      <c r="BY328" s="161"/>
      <c r="BZ328" s="161"/>
      <c r="CA328" s="161"/>
      <c r="CB328" s="161"/>
      <c r="CC328" s="161"/>
      <c r="CD328" s="161"/>
      <c r="CE328" s="161"/>
      <c r="CF328" s="161"/>
      <c r="CG328" s="161"/>
      <c r="CH328" s="161"/>
      <c r="CI328" s="161"/>
      <c r="CJ328" s="161"/>
      <c r="CK328" s="161"/>
      <c r="CL328" s="161"/>
      <c r="CM328" s="161"/>
      <c r="CN328" s="161"/>
      <c r="CO328" s="161"/>
      <c r="CP328" s="161"/>
      <c r="CQ328" s="161"/>
      <c r="CR328" s="161"/>
      <c r="CS328" s="161"/>
      <c r="CT328" s="161"/>
      <c r="CU328" s="161"/>
      <c r="CV328" s="161"/>
      <c r="CW328" s="161"/>
      <c r="CX328" s="161"/>
      <c r="CY328" s="161"/>
      <c r="CZ328" s="161"/>
      <c r="DA328" s="161"/>
      <c r="DB328" s="161"/>
      <c r="DC328" s="161"/>
      <c r="DD328" s="161"/>
      <c r="DE328" s="161"/>
      <c r="DF328" s="161"/>
      <c r="DG328" s="161"/>
      <c r="DH328" s="161"/>
      <c r="DI328" s="161"/>
      <c r="DJ328" s="161"/>
      <c r="DK328" s="161"/>
      <c r="DL328" s="161"/>
      <c r="DM328" s="161"/>
      <c r="DN328" s="161"/>
      <c r="DO328" s="161"/>
      <c r="DP328" s="161"/>
      <c r="DQ328" s="161"/>
      <c r="DR328" s="161"/>
      <c r="DS328" s="161"/>
      <c r="DT328" s="161"/>
      <c r="DU328" s="161"/>
      <c r="DV328" s="161"/>
      <c r="DW328" s="161"/>
      <c r="DX328" s="161"/>
      <c r="DY328" s="161"/>
      <c r="DZ328" s="161"/>
      <c r="EA328" s="161"/>
      <c r="EB328" s="174"/>
    </row>
    <row r="329" spans="67:132">
      <c r="BO329" s="161"/>
      <c r="BP329" s="161"/>
      <c r="BQ329" s="161"/>
      <c r="BR329" s="161"/>
      <c r="BS329" s="161"/>
      <c r="BT329" s="161"/>
      <c r="BU329" s="161"/>
      <c r="BV329" s="161"/>
      <c r="BW329" s="161"/>
      <c r="BX329" s="161"/>
      <c r="BY329" s="161"/>
      <c r="BZ329" s="161"/>
      <c r="CA329" s="161"/>
      <c r="CB329" s="161"/>
      <c r="CC329" s="161"/>
      <c r="CD329" s="161"/>
      <c r="CE329" s="161"/>
      <c r="CF329" s="161"/>
      <c r="CG329" s="161"/>
      <c r="CH329" s="161"/>
      <c r="CI329" s="161"/>
      <c r="CJ329" s="161"/>
      <c r="CK329" s="161"/>
      <c r="CL329" s="161"/>
      <c r="CM329" s="161"/>
      <c r="CN329" s="161"/>
      <c r="CO329" s="161"/>
      <c r="CP329" s="161"/>
      <c r="CQ329" s="161"/>
      <c r="CR329" s="161"/>
      <c r="CS329" s="161"/>
      <c r="CT329" s="161"/>
      <c r="CU329" s="161"/>
      <c r="CV329" s="161"/>
      <c r="CW329" s="161"/>
      <c r="CX329" s="161"/>
      <c r="CY329" s="161"/>
      <c r="CZ329" s="161"/>
      <c r="DA329" s="161"/>
      <c r="DB329" s="161"/>
      <c r="DC329" s="161"/>
      <c r="DD329" s="161"/>
      <c r="DE329" s="161"/>
      <c r="DF329" s="161"/>
      <c r="DG329" s="161"/>
      <c r="DH329" s="161"/>
      <c r="DI329" s="161"/>
      <c r="DJ329" s="161"/>
      <c r="DK329" s="161"/>
      <c r="DL329" s="161"/>
      <c r="DM329" s="161"/>
      <c r="DN329" s="161"/>
      <c r="DO329" s="161"/>
      <c r="DP329" s="161"/>
      <c r="DQ329" s="161"/>
      <c r="DR329" s="161"/>
      <c r="DS329" s="161"/>
      <c r="DT329" s="161"/>
      <c r="DU329" s="161"/>
      <c r="DV329" s="161"/>
      <c r="DW329" s="161"/>
      <c r="DX329" s="161"/>
      <c r="DY329" s="161"/>
      <c r="DZ329" s="161"/>
      <c r="EA329" s="161"/>
      <c r="EB329" s="174"/>
    </row>
    <row r="330" spans="67:132">
      <c r="BO330" s="161"/>
      <c r="BP330" s="161"/>
      <c r="BQ330" s="161"/>
      <c r="BR330" s="161"/>
      <c r="BS330" s="161"/>
      <c r="BT330" s="161"/>
      <c r="BU330" s="161"/>
      <c r="BV330" s="161"/>
      <c r="BW330" s="161"/>
      <c r="BX330" s="161"/>
      <c r="BY330" s="161"/>
      <c r="BZ330" s="161"/>
      <c r="CA330" s="161"/>
      <c r="CB330" s="161"/>
      <c r="CC330" s="161"/>
      <c r="CD330" s="161"/>
      <c r="CE330" s="161"/>
      <c r="CF330" s="161"/>
      <c r="CG330" s="161"/>
      <c r="CH330" s="161"/>
      <c r="CI330" s="161"/>
      <c r="CJ330" s="161"/>
      <c r="CK330" s="161"/>
      <c r="CL330" s="161"/>
      <c r="CM330" s="161"/>
      <c r="CN330" s="161"/>
      <c r="CO330" s="161"/>
      <c r="CP330" s="161"/>
      <c r="CQ330" s="161"/>
      <c r="CR330" s="161"/>
      <c r="CS330" s="161"/>
      <c r="CT330" s="161"/>
      <c r="CU330" s="161"/>
      <c r="CV330" s="161"/>
      <c r="CW330" s="161"/>
      <c r="CX330" s="161"/>
      <c r="CY330" s="161"/>
      <c r="CZ330" s="161"/>
      <c r="DA330" s="161"/>
      <c r="DB330" s="161"/>
      <c r="DC330" s="161"/>
      <c r="DD330" s="161"/>
      <c r="DE330" s="161"/>
      <c r="DF330" s="161"/>
      <c r="DG330" s="161"/>
      <c r="DH330" s="161"/>
      <c r="DI330" s="161"/>
      <c r="DJ330" s="161"/>
      <c r="DK330" s="161"/>
      <c r="DL330" s="161"/>
      <c r="DM330" s="161"/>
      <c r="DN330" s="161"/>
      <c r="DO330" s="161"/>
      <c r="DP330" s="161"/>
      <c r="DQ330" s="161"/>
      <c r="DR330" s="161"/>
      <c r="DS330" s="161"/>
      <c r="DT330" s="161"/>
      <c r="DU330" s="161"/>
      <c r="DV330" s="161"/>
      <c r="DW330" s="161"/>
      <c r="DX330" s="161"/>
      <c r="DY330" s="161"/>
      <c r="DZ330" s="161"/>
      <c r="EA330" s="161"/>
      <c r="EB330" s="174"/>
    </row>
    <row r="331" spans="67:132">
      <c r="BO331" s="161"/>
      <c r="BP331" s="161"/>
      <c r="BQ331" s="161"/>
      <c r="BR331" s="161"/>
      <c r="BS331" s="161"/>
      <c r="BT331" s="161"/>
      <c r="BU331" s="161"/>
      <c r="BV331" s="161"/>
      <c r="BW331" s="161"/>
      <c r="BX331" s="161"/>
      <c r="BY331" s="161"/>
      <c r="BZ331" s="161"/>
      <c r="CA331" s="161"/>
      <c r="CB331" s="161"/>
      <c r="CC331" s="161"/>
      <c r="CD331" s="161"/>
      <c r="CE331" s="161"/>
      <c r="CF331" s="161"/>
      <c r="CG331" s="161"/>
      <c r="CH331" s="161"/>
      <c r="CI331" s="161"/>
      <c r="CJ331" s="161"/>
      <c r="CK331" s="161"/>
      <c r="CL331" s="161"/>
      <c r="CM331" s="161"/>
      <c r="CN331" s="161"/>
      <c r="CO331" s="161"/>
      <c r="CP331" s="161"/>
      <c r="CQ331" s="161"/>
      <c r="CR331" s="161"/>
      <c r="CS331" s="161"/>
      <c r="CT331" s="161"/>
      <c r="CU331" s="161"/>
      <c r="CV331" s="161"/>
      <c r="CW331" s="161"/>
      <c r="CX331" s="161"/>
      <c r="CY331" s="161"/>
      <c r="CZ331" s="161"/>
      <c r="DA331" s="161"/>
      <c r="DB331" s="161"/>
      <c r="DC331" s="161"/>
      <c r="DD331" s="161"/>
      <c r="DE331" s="161"/>
      <c r="DF331" s="161"/>
      <c r="DG331" s="161"/>
      <c r="DH331" s="161"/>
      <c r="DI331" s="161"/>
      <c r="DJ331" s="161"/>
      <c r="DK331" s="161"/>
      <c r="DL331" s="161"/>
      <c r="DM331" s="161"/>
      <c r="DN331" s="161"/>
      <c r="DO331" s="161"/>
      <c r="DP331" s="161"/>
      <c r="DQ331" s="161"/>
      <c r="DR331" s="161"/>
      <c r="DS331" s="161"/>
      <c r="DT331" s="161"/>
      <c r="DU331" s="161"/>
      <c r="DV331" s="161"/>
      <c r="DW331" s="161"/>
      <c r="DX331" s="161"/>
      <c r="DY331" s="161"/>
      <c r="DZ331" s="161"/>
      <c r="EA331" s="161"/>
      <c r="EB331" s="174"/>
    </row>
    <row r="332" spans="67:132">
      <c r="BO332" s="161"/>
      <c r="BP332" s="161"/>
      <c r="BQ332" s="161"/>
      <c r="BR332" s="161"/>
      <c r="BS332" s="161"/>
      <c r="BT332" s="161"/>
      <c r="BU332" s="161"/>
      <c r="BV332" s="161"/>
      <c r="BW332" s="161"/>
      <c r="BX332" s="161"/>
      <c r="BY332" s="161"/>
      <c r="BZ332" s="161"/>
      <c r="CA332" s="161"/>
      <c r="CB332" s="161"/>
      <c r="CC332" s="161"/>
      <c r="CD332" s="161"/>
      <c r="CE332" s="161"/>
      <c r="CF332" s="161"/>
      <c r="CG332" s="161"/>
      <c r="CH332" s="161"/>
      <c r="CI332" s="161"/>
      <c r="CJ332" s="161"/>
      <c r="CK332" s="161"/>
      <c r="CL332" s="161"/>
      <c r="CM332" s="161"/>
      <c r="CN332" s="161"/>
      <c r="CO332" s="161"/>
      <c r="CP332" s="161"/>
      <c r="CQ332" s="161"/>
      <c r="CR332" s="161"/>
      <c r="CS332" s="161"/>
      <c r="CT332" s="161"/>
      <c r="CU332" s="161"/>
      <c r="CV332" s="161"/>
      <c r="CW332" s="161"/>
      <c r="CX332" s="161"/>
      <c r="CY332" s="161"/>
      <c r="CZ332" s="161"/>
      <c r="DA332" s="161"/>
      <c r="DB332" s="161"/>
      <c r="DC332" s="161"/>
      <c r="DD332" s="161"/>
      <c r="DE332" s="161"/>
      <c r="DF332" s="161"/>
      <c r="DG332" s="161"/>
      <c r="DH332" s="161"/>
      <c r="DI332" s="161"/>
      <c r="DJ332" s="161"/>
      <c r="DK332" s="161"/>
      <c r="DL332" s="161"/>
      <c r="DM332" s="161"/>
      <c r="DN332" s="161"/>
      <c r="DO332" s="161"/>
      <c r="DP332" s="161"/>
      <c r="DQ332" s="161"/>
      <c r="DR332" s="161"/>
      <c r="DS332" s="161"/>
      <c r="DT332" s="161"/>
      <c r="DU332" s="161"/>
      <c r="DV332" s="161"/>
      <c r="DW332" s="161"/>
      <c r="DX332" s="161"/>
      <c r="DY332" s="161"/>
      <c r="DZ332" s="161"/>
      <c r="EA332" s="161"/>
      <c r="EB332" s="174"/>
    </row>
    <row r="333" spans="67:132">
      <c r="BO333" s="161"/>
      <c r="BP333" s="161"/>
      <c r="BQ333" s="161"/>
      <c r="BR333" s="161"/>
      <c r="BS333" s="161"/>
      <c r="BT333" s="161"/>
      <c r="BU333" s="161"/>
      <c r="BV333" s="161"/>
      <c r="BW333" s="161"/>
      <c r="BX333" s="161"/>
      <c r="BY333" s="161"/>
      <c r="BZ333" s="161"/>
      <c r="CA333" s="161"/>
      <c r="CB333" s="161"/>
      <c r="CC333" s="161"/>
      <c r="CD333" s="161"/>
      <c r="CE333" s="161"/>
      <c r="CF333" s="161"/>
      <c r="CG333" s="161"/>
      <c r="CH333" s="161"/>
      <c r="CI333" s="161"/>
      <c r="CJ333" s="161"/>
      <c r="CK333" s="161"/>
      <c r="CL333" s="161"/>
      <c r="CM333" s="161"/>
      <c r="CN333" s="161"/>
      <c r="CO333" s="161"/>
      <c r="CP333" s="161"/>
      <c r="CQ333" s="161"/>
      <c r="CR333" s="161"/>
      <c r="CS333" s="161"/>
      <c r="CT333" s="161"/>
      <c r="CU333" s="161"/>
      <c r="CV333" s="161"/>
      <c r="CW333" s="161"/>
      <c r="CX333" s="161"/>
      <c r="CY333" s="161"/>
      <c r="CZ333" s="161"/>
      <c r="DA333" s="161"/>
      <c r="DB333" s="161"/>
      <c r="DC333" s="161"/>
      <c r="DD333" s="161"/>
      <c r="DE333" s="161"/>
      <c r="DF333" s="161"/>
      <c r="DG333" s="161"/>
      <c r="DH333" s="161"/>
      <c r="DI333" s="161"/>
      <c r="DJ333" s="161"/>
      <c r="DK333" s="161"/>
      <c r="DL333" s="161"/>
      <c r="DM333" s="161"/>
      <c r="DN333" s="161"/>
      <c r="DO333" s="161"/>
      <c r="DP333" s="161"/>
      <c r="DQ333" s="161"/>
      <c r="DR333" s="161"/>
      <c r="DS333" s="161"/>
      <c r="DT333" s="161"/>
      <c r="DU333" s="161"/>
      <c r="DV333" s="161"/>
      <c r="DW333" s="161"/>
      <c r="DX333" s="161"/>
      <c r="DY333" s="161"/>
      <c r="DZ333" s="161"/>
      <c r="EA333" s="161"/>
      <c r="EB333" s="174"/>
    </row>
    <row r="334" spans="67:132">
      <c r="BO334" s="161"/>
      <c r="BP334" s="161"/>
      <c r="BQ334" s="161"/>
      <c r="BR334" s="161"/>
      <c r="BS334" s="161"/>
      <c r="BT334" s="161"/>
      <c r="BU334" s="161"/>
      <c r="BV334" s="161"/>
      <c r="BW334" s="161"/>
      <c r="BX334" s="161"/>
      <c r="BY334" s="161"/>
      <c r="BZ334" s="161"/>
      <c r="CA334" s="161"/>
      <c r="CB334" s="161"/>
      <c r="CC334" s="161"/>
      <c r="CD334" s="161"/>
      <c r="CE334" s="161"/>
      <c r="CF334" s="161"/>
      <c r="CG334" s="161"/>
      <c r="CH334" s="161"/>
      <c r="CI334" s="161"/>
      <c r="CJ334" s="161"/>
      <c r="CK334" s="161"/>
      <c r="CL334" s="161"/>
      <c r="CM334" s="161"/>
      <c r="CN334" s="161"/>
      <c r="CO334" s="161"/>
      <c r="CP334" s="161"/>
      <c r="CQ334" s="161"/>
      <c r="CR334" s="161"/>
      <c r="CS334" s="161"/>
      <c r="CT334" s="161"/>
      <c r="CU334" s="161"/>
      <c r="CV334" s="161"/>
      <c r="CW334" s="161"/>
      <c r="CX334" s="161"/>
      <c r="CY334" s="161"/>
      <c r="CZ334" s="161"/>
      <c r="DA334" s="161"/>
      <c r="DB334" s="161"/>
      <c r="DC334" s="161"/>
      <c r="DD334" s="161"/>
      <c r="DE334" s="161"/>
      <c r="DF334" s="161"/>
      <c r="DG334" s="161"/>
      <c r="DH334" s="161"/>
      <c r="DI334" s="161"/>
      <c r="DJ334" s="161"/>
      <c r="DK334" s="161"/>
      <c r="DL334" s="161"/>
      <c r="DM334" s="161"/>
      <c r="DN334" s="161"/>
      <c r="DO334" s="161"/>
      <c r="DP334" s="161"/>
      <c r="DQ334" s="161"/>
      <c r="DR334" s="161"/>
      <c r="DS334" s="161"/>
      <c r="DT334" s="161"/>
      <c r="DU334" s="161"/>
      <c r="DV334" s="161"/>
      <c r="DW334" s="161"/>
      <c r="DX334" s="161"/>
      <c r="DY334" s="161"/>
      <c r="DZ334" s="161"/>
      <c r="EA334" s="161"/>
      <c r="EB334" s="174"/>
    </row>
    <row r="335" spans="67:132">
      <c r="BO335" s="161"/>
      <c r="BP335" s="161"/>
      <c r="BQ335" s="161"/>
      <c r="BR335" s="161"/>
      <c r="BS335" s="161"/>
      <c r="BT335" s="161"/>
      <c r="BU335" s="161"/>
      <c r="BV335" s="161"/>
      <c r="BW335" s="161"/>
      <c r="BX335" s="161"/>
      <c r="BY335" s="161"/>
      <c r="BZ335" s="161"/>
      <c r="CA335" s="161"/>
      <c r="CB335" s="161"/>
      <c r="CC335" s="161"/>
      <c r="CD335" s="161"/>
      <c r="CE335" s="161"/>
      <c r="CF335" s="161"/>
      <c r="CG335" s="161"/>
      <c r="CH335" s="161"/>
      <c r="CI335" s="161"/>
      <c r="CJ335" s="161"/>
      <c r="CK335" s="161"/>
      <c r="CL335" s="161"/>
      <c r="CM335" s="161"/>
      <c r="CN335" s="161"/>
      <c r="CO335" s="161"/>
      <c r="CP335" s="161"/>
      <c r="CQ335" s="161"/>
      <c r="CR335" s="161"/>
      <c r="CS335" s="161"/>
      <c r="CT335" s="161"/>
      <c r="CU335" s="161"/>
      <c r="CV335" s="161"/>
      <c r="CW335" s="161"/>
      <c r="CX335" s="161"/>
      <c r="CY335" s="161"/>
      <c r="CZ335" s="161"/>
      <c r="DA335" s="161"/>
      <c r="DB335" s="161"/>
      <c r="DC335" s="161"/>
      <c r="DD335" s="161"/>
      <c r="DE335" s="161"/>
      <c r="DF335" s="161"/>
      <c r="DG335" s="161"/>
      <c r="DH335" s="161"/>
      <c r="DI335" s="161"/>
      <c r="DJ335" s="161"/>
      <c r="DK335" s="161"/>
      <c r="DL335" s="161"/>
      <c r="DM335" s="161"/>
      <c r="DN335" s="161"/>
      <c r="DO335" s="161"/>
      <c r="DP335" s="161"/>
      <c r="DQ335" s="161"/>
      <c r="DR335" s="161"/>
      <c r="DS335" s="161"/>
      <c r="DT335" s="161"/>
      <c r="DU335" s="161"/>
      <c r="DV335" s="161"/>
      <c r="DW335" s="161"/>
      <c r="DX335" s="161"/>
      <c r="DY335" s="161"/>
      <c r="DZ335" s="161"/>
      <c r="EA335" s="161"/>
      <c r="EB335" s="174"/>
    </row>
    <row r="336" spans="67:132">
      <c r="BO336" s="161"/>
      <c r="BP336" s="161"/>
      <c r="BQ336" s="161"/>
      <c r="BR336" s="161"/>
      <c r="BS336" s="161"/>
      <c r="BT336" s="161"/>
      <c r="BU336" s="161"/>
      <c r="BV336" s="161"/>
      <c r="BW336" s="161"/>
      <c r="BX336" s="161"/>
      <c r="BY336" s="161"/>
      <c r="BZ336" s="161"/>
      <c r="CA336" s="161"/>
      <c r="CB336" s="161"/>
      <c r="CC336" s="161"/>
      <c r="CD336" s="161"/>
      <c r="CE336" s="161"/>
      <c r="CF336" s="161"/>
      <c r="CG336" s="161"/>
      <c r="CH336" s="161"/>
      <c r="CI336" s="161"/>
      <c r="CJ336" s="161"/>
      <c r="CK336" s="161"/>
      <c r="CL336" s="161"/>
      <c r="CM336" s="161"/>
      <c r="CN336" s="161"/>
      <c r="CO336" s="161"/>
      <c r="CP336" s="161"/>
      <c r="CQ336" s="161"/>
      <c r="CR336" s="161"/>
      <c r="CS336" s="161"/>
      <c r="CT336" s="161"/>
      <c r="CU336" s="161"/>
      <c r="CV336" s="161"/>
      <c r="CW336" s="161"/>
      <c r="CX336" s="161"/>
      <c r="CY336" s="161"/>
      <c r="CZ336" s="161"/>
      <c r="DA336" s="161"/>
      <c r="DB336" s="161"/>
      <c r="DC336" s="161"/>
      <c r="DD336" s="161"/>
      <c r="DE336" s="161"/>
      <c r="DF336" s="161"/>
      <c r="DG336" s="161"/>
      <c r="DH336" s="161"/>
      <c r="DI336" s="161"/>
      <c r="DJ336" s="161"/>
      <c r="DK336" s="161"/>
      <c r="DL336" s="161"/>
      <c r="DM336" s="161"/>
      <c r="DN336" s="161"/>
      <c r="DO336" s="161"/>
      <c r="DP336" s="161"/>
      <c r="DQ336" s="161"/>
      <c r="DR336" s="161"/>
      <c r="DS336" s="161"/>
      <c r="DT336" s="161"/>
      <c r="DU336" s="161"/>
      <c r="DV336" s="161"/>
      <c r="DW336" s="161"/>
      <c r="DX336" s="161"/>
      <c r="DY336" s="161"/>
      <c r="DZ336" s="161"/>
      <c r="EA336" s="161"/>
      <c r="EB336" s="174"/>
    </row>
    <row r="337" spans="67:132">
      <c r="BO337" s="161"/>
      <c r="BP337" s="161"/>
      <c r="BQ337" s="161"/>
      <c r="BR337" s="161"/>
      <c r="BS337" s="161"/>
      <c r="BT337" s="161"/>
      <c r="BU337" s="161"/>
      <c r="BV337" s="161"/>
      <c r="BW337" s="161"/>
      <c r="BX337" s="161"/>
      <c r="BY337" s="161"/>
      <c r="BZ337" s="161"/>
      <c r="CA337" s="161"/>
      <c r="CB337" s="161"/>
      <c r="CC337" s="161"/>
      <c r="CD337" s="161"/>
      <c r="CE337" s="161"/>
      <c r="CF337" s="161"/>
      <c r="CG337" s="161"/>
      <c r="CH337" s="161"/>
      <c r="CI337" s="161"/>
      <c r="CJ337" s="161"/>
      <c r="CK337" s="161"/>
      <c r="CL337" s="161"/>
      <c r="CM337" s="161"/>
      <c r="CN337" s="161"/>
      <c r="CO337" s="161"/>
      <c r="CP337" s="161"/>
      <c r="CQ337" s="161"/>
      <c r="CR337" s="161"/>
      <c r="CS337" s="161"/>
      <c r="CT337" s="161"/>
      <c r="CU337" s="161"/>
      <c r="CV337" s="161"/>
      <c r="CW337" s="161"/>
      <c r="CX337" s="161"/>
      <c r="CY337" s="161"/>
      <c r="CZ337" s="161"/>
      <c r="DA337" s="161"/>
      <c r="DB337" s="161"/>
      <c r="DC337" s="161"/>
      <c r="DD337" s="161"/>
      <c r="DE337" s="161"/>
      <c r="DF337" s="161"/>
      <c r="DG337" s="161"/>
      <c r="DH337" s="161"/>
      <c r="DI337" s="161"/>
      <c r="DJ337" s="161"/>
      <c r="DK337" s="161"/>
      <c r="DL337" s="161"/>
      <c r="DM337" s="161"/>
      <c r="DN337" s="161"/>
      <c r="DO337" s="161"/>
      <c r="DP337" s="161"/>
      <c r="DQ337" s="161"/>
      <c r="DR337" s="161"/>
      <c r="DS337" s="161"/>
      <c r="DT337" s="161"/>
      <c r="DU337" s="161"/>
      <c r="DV337" s="161"/>
      <c r="DW337" s="161"/>
      <c r="DX337" s="161"/>
      <c r="DY337" s="161"/>
      <c r="DZ337" s="161"/>
      <c r="EA337" s="161"/>
      <c r="EB337" s="174"/>
    </row>
    <row r="338" spans="67:132">
      <c r="BO338" s="161"/>
      <c r="BP338" s="161"/>
      <c r="BQ338" s="161"/>
      <c r="BR338" s="161"/>
      <c r="BS338" s="161"/>
      <c r="BT338" s="161"/>
      <c r="BU338" s="161"/>
      <c r="BV338" s="161"/>
      <c r="BW338" s="161"/>
      <c r="BX338" s="161"/>
      <c r="BY338" s="161"/>
      <c r="BZ338" s="161"/>
      <c r="CA338" s="161"/>
      <c r="CB338" s="161"/>
      <c r="CC338" s="161"/>
      <c r="CD338" s="161"/>
      <c r="CE338" s="161"/>
      <c r="CF338" s="161"/>
      <c r="CG338" s="161"/>
      <c r="CH338" s="161"/>
      <c r="CI338" s="161"/>
      <c r="CJ338" s="161"/>
      <c r="CK338" s="161"/>
      <c r="CL338" s="161"/>
      <c r="CM338" s="161"/>
      <c r="CN338" s="161"/>
      <c r="CO338" s="161"/>
      <c r="CP338" s="161"/>
      <c r="CQ338" s="161"/>
      <c r="CR338" s="161"/>
      <c r="CS338" s="161"/>
      <c r="CT338" s="161"/>
      <c r="CU338" s="161"/>
      <c r="CV338" s="161"/>
      <c r="CW338" s="161"/>
      <c r="CX338" s="161"/>
      <c r="CY338" s="161"/>
      <c r="CZ338" s="161"/>
      <c r="DA338" s="161"/>
      <c r="DB338" s="161"/>
      <c r="DC338" s="161"/>
      <c r="DD338" s="161"/>
      <c r="DE338" s="161"/>
      <c r="DF338" s="161"/>
      <c r="DG338" s="161"/>
      <c r="DH338" s="161"/>
      <c r="DI338" s="161"/>
      <c r="DJ338" s="161"/>
      <c r="DK338" s="161"/>
      <c r="DL338" s="161"/>
      <c r="DM338" s="161"/>
      <c r="DN338" s="161"/>
      <c r="DO338" s="161"/>
      <c r="DP338" s="161"/>
      <c r="DQ338" s="161"/>
      <c r="DR338" s="161"/>
      <c r="DS338" s="161"/>
      <c r="DT338" s="161"/>
      <c r="DU338" s="161"/>
      <c r="DV338" s="161"/>
      <c r="DW338" s="161"/>
      <c r="DX338" s="161"/>
      <c r="DY338" s="161"/>
      <c r="DZ338" s="161"/>
      <c r="EA338" s="161"/>
      <c r="EB338" s="174"/>
    </row>
    <row r="339" spans="67:132">
      <c r="BO339" s="161"/>
      <c r="BP339" s="161"/>
      <c r="BQ339" s="161"/>
      <c r="BR339" s="161"/>
      <c r="BS339" s="161"/>
      <c r="BT339" s="161"/>
      <c r="BU339" s="161"/>
      <c r="BV339" s="161"/>
      <c r="BW339" s="161"/>
      <c r="BX339" s="161"/>
      <c r="BY339" s="161"/>
      <c r="BZ339" s="161"/>
      <c r="CA339" s="161"/>
      <c r="CB339" s="161"/>
      <c r="CC339" s="161"/>
      <c r="CD339" s="161"/>
      <c r="CE339" s="161"/>
      <c r="CF339" s="161"/>
      <c r="CG339" s="161"/>
      <c r="CH339" s="161"/>
      <c r="CI339" s="161"/>
      <c r="CJ339" s="161"/>
      <c r="CK339" s="161"/>
      <c r="CL339" s="161"/>
      <c r="CM339" s="161"/>
      <c r="CN339" s="161"/>
      <c r="CO339" s="161"/>
      <c r="CP339" s="161"/>
      <c r="CQ339" s="161"/>
      <c r="CR339" s="161"/>
      <c r="CS339" s="161"/>
      <c r="CT339" s="161"/>
      <c r="CU339" s="161"/>
      <c r="CV339" s="161"/>
      <c r="CW339" s="161"/>
      <c r="CX339" s="161"/>
      <c r="CY339" s="161"/>
      <c r="CZ339" s="161"/>
      <c r="DA339" s="161"/>
      <c r="DB339" s="161"/>
      <c r="DC339" s="161"/>
      <c r="DD339" s="161"/>
      <c r="DE339" s="161"/>
      <c r="DF339" s="161"/>
      <c r="DG339" s="161"/>
      <c r="DH339" s="161"/>
      <c r="DI339" s="161"/>
      <c r="DJ339" s="161"/>
      <c r="DK339" s="161"/>
      <c r="DL339" s="161"/>
      <c r="DM339" s="161"/>
      <c r="DN339" s="161"/>
      <c r="DO339" s="161"/>
      <c r="DP339" s="161"/>
      <c r="DQ339" s="161"/>
      <c r="DR339" s="161"/>
      <c r="DS339" s="161"/>
      <c r="DT339" s="161"/>
      <c r="DU339" s="161"/>
      <c r="DV339" s="161"/>
      <c r="DW339" s="161"/>
      <c r="DX339" s="161"/>
      <c r="DY339" s="161"/>
      <c r="DZ339" s="161"/>
      <c r="EA339" s="161"/>
      <c r="EB339" s="174"/>
    </row>
    <row r="340" spans="67:132">
      <c r="BO340" s="161"/>
      <c r="BP340" s="161"/>
      <c r="BQ340" s="161"/>
      <c r="BR340" s="161"/>
      <c r="BS340" s="161"/>
      <c r="BT340" s="161"/>
      <c r="BU340" s="161"/>
      <c r="BV340" s="161"/>
      <c r="BW340" s="161"/>
      <c r="BX340" s="161"/>
      <c r="BY340" s="161"/>
      <c r="BZ340" s="161"/>
      <c r="CA340" s="161"/>
      <c r="CB340" s="161"/>
      <c r="CC340" s="161"/>
      <c r="CD340" s="161"/>
      <c r="CE340" s="161"/>
      <c r="CF340" s="161"/>
      <c r="CG340" s="161"/>
      <c r="CH340" s="161"/>
      <c r="CI340" s="161"/>
      <c r="CJ340" s="161"/>
      <c r="CK340" s="161"/>
      <c r="CL340" s="161"/>
      <c r="CM340" s="161"/>
      <c r="CN340" s="161"/>
      <c r="CO340" s="161"/>
      <c r="CP340" s="161"/>
      <c r="CQ340" s="161"/>
      <c r="CR340" s="161"/>
      <c r="CS340" s="161"/>
      <c r="CT340" s="161"/>
      <c r="CU340" s="161"/>
      <c r="CV340" s="161"/>
      <c r="CW340" s="161"/>
      <c r="CX340" s="161"/>
      <c r="CY340" s="161"/>
      <c r="CZ340" s="161"/>
      <c r="DA340" s="161"/>
      <c r="DB340" s="161"/>
      <c r="DC340" s="161"/>
      <c r="DD340" s="161"/>
      <c r="DE340" s="161"/>
      <c r="DF340" s="161"/>
      <c r="DG340" s="161"/>
      <c r="DH340" s="161"/>
      <c r="DI340" s="161"/>
      <c r="DJ340" s="161"/>
      <c r="DK340" s="161"/>
      <c r="DL340" s="161"/>
      <c r="DM340" s="161"/>
      <c r="DN340" s="161"/>
      <c r="DO340" s="161"/>
      <c r="DP340" s="161"/>
      <c r="DQ340" s="161"/>
      <c r="DR340" s="161"/>
      <c r="DS340" s="161"/>
      <c r="DT340" s="161"/>
      <c r="DU340" s="161"/>
      <c r="DV340" s="161"/>
      <c r="DW340" s="161"/>
      <c r="DX340" s="161"/>
      <c r="DY340" s="161"/>
      <c r="DZ340" s="161"/>
      <c r="EA340" s="161"/>
      <c r="EB340" s="174"/>
    </row>
    <row r="341" spans="67:132">
      <c r="BO341" s="161"/>
      <c r="BP341" s="161"/>
      <c r="BQ341" s="161"/>
      <c r="BR341" s="161"/>
      <c r="BS341" s="161"/>
      <c r="BT341" s="161"/>
      <c r="BU341" s="161"/>
      <c r="BV341" s="161"/>
      <c r="BW341" s="161"/>
      <c r="BX341" s="161"/>
      <c r="BY341" s="161"/>
      <c r="BZ341" s="161"/>
      <c r="CA341" s="161"/>
      <c r="CB341" s="161"/>
      <c r="CC341" s="161"/>
      <c r="CD341" s="161"/>
      <c r="CE341" s="161"/>
      <c r="CF341" s="161"/>
      <c r="CG341" s="161"/>
      <c r="CH341" s="161"/>
      <c r="CI341" s="161"/>
      <c r="CJ341" s="161"/>
      <c r="CK341" s="161"/>
      <c r="CL341" s="161"/>
      <c r="CM341" s="161"/>
      <c r="CN341" s="161"/>
      <c r="CO341" s="161"/>
      <c r="CP341" s="161"/>
      <c r="CQ341" s="161"/>
      <c r="CR341" s="161"/>
      <c r="CS341" s="161"/>
      <c r="CT341" s="161"/>
      <c r="CU341" s="161"/>
      <c r="CV341" s="161"/>
      <c r="CW341" s="161"/>
      <c r="CX341" s="161"/>
      <c r="CY341" s="161"/>
      <c r="CZ341" s="161"/>
      <c r="DA341" s="161"/>
      <c r="DB341" s="161"/>
      <c r="DC341" s="161"/>
      <c r="DD341" s="161"/>
      <c r="DE341" s="161"/>
      <c r="DF341" s="161"/>
      <c r="DG341" s="161"/>
      <c r="DH341" s="161"/>
      <c r="DI341" s="161"/>
      <c r="DJ341" s="161"/>
      <c r="DK341" s="161"/>
      <c r="DL341" s="161"/>
      <c r="DM341" s="161"/>
      <c r="DN341" s="161"/>
      <c r="DO341" s="161"/>
      <c r="DP341" s="161"/>
      <c r="DQ341" s="161"/>
      <c r="DR341" s="161"/>
      <c r="DS341" s="161"/>
      <c r="DT341" s="161"/>
      <c r="DU341" s="161"/>
      <c r="DV341" s="161"/>
      <c r="DW341" s="161"/>
      <c r="DX341" s="161"/>
      <c r="DY341" s="161"/>
      <c r="DZ341" s="161"/>
      <c r="EA341" s="161"/>
      <c r="EB341" s="174"/>
    </row>
    <row r="342" spans="67:132">
      <c r="BO342" s="161"/>
      <c r="BP342" s="161"/>
      <c r="BQ342" s="161"/>
      <c r="BR342" s="161"/>
      <c r="BS342" s="161"/>
      <c r="BT342" s="161"/>
      <c r="BU342" s="161"/>
      <c r="BV342" s="161"/>
      <c r="BW342" s="161"/>
      <c r="BX342" s="161"/>
      <c r="BY342" s="161"/>
      <c r="BZ342" s="161"/>
      <c r="CA342" s="161"/>
      <c r="CB342" s="161"/>
      <c r="CC342" s="161"/>
      <c r="CD342" s="161"/>
      <c r="CE342" s="161"/>
      <c r="CF342" s="161"/>
      <c r="CG342" s="161"/>
      <c r="CH342" s="161"/>
      <c r="CI342" s="161"/>
      <c r="CJ342" s="161"/>
      <c r="CK342" s="161"/>
      <c r="CL342" s="161"/>
      <c r="CM342" s="161"/>
      <c r="CN342" s="161"/>
      <c r="CO342" s="161"/>
      <c r="CP342" s="161"/>
      <c r="CQ342" s="161"/>
      <c r="CR342" s="161"/>
      <c r="CS342" s="161"/>
      <c r="CT342" s="161"/>
      <c r="CU342" s="161"/>
      <c r="CV342" s="161"/>
      <c r="CW342" s="161"/>
      <c r="CX342" s="161"/>
      <c r="CY342" s="161"/>
      <c r="CZ342" s="161"/>
      <c r="DA342" s="161"/>
      <c r="DB342" s="161"/>
      <c r="DC342" s="161"/>
      <c r="DD342" s="161"/>
      <c r="DE342" s="161"/>
      <c r="DF342" s="161"/>
      <c r="DG342" s="161"/>
      <c r="DH342" s="161"/>
      <c r="DI342" s="161"/>
      <c r="DJ342" s="161"/>
      <c r="DK342" s="161"/>
      <c r="DL342" s="161"/>
      <c r="DM342" s="161"/>
      <c r="DN342" s="161"/>
      <c r="DO342" s="161"/>
      <c r="DP342" s="161"/>
      <c r="DQ342" s="161"/>
      <c r="DR342" s="161"/>
      <c r="DS342" s="161"/>
      <c r="DT342" s="161"/>
      <c r="DU342" s="161"/>
      <c r="DV342" s="161"/>
      <c r="DW342" s="161"/>
      <c r="DX342" s="161"/>
      <c r="DY342" s="161"/>
      <c r="DZ342" s="161"/>
      <c r="EA342" s="161"/>
      <c r="EB342" s="174"/>
    </row>
    <row r="343" spans="67:132">
      <c r="BO343" s="161"/>
      <c r="BP343" s="161"/>
      <c r="BQ343" s="161"/>
      <c r="BR343" s="161"/>
      <c r="BS343" s="161"/>
      <c r="BT343" s="161"/>
      <c r="BU343" s="161"/>
      <c r="BV343" s="161"/>
      <c r="BW343" s="161"/>
      <c r="BX343" s="161"/>
      <c r="BY343" s="161"/>
      <c r="BZ343" s="161"/>
      <c r="CA343" s="161"/>
      <c r="CB343" s="161"/>
      <c r="CC343" s="161"/>
      <c r="CD343" s="161"/>
      <c r="CE343" s="161"/>
      <c r="CF343" s="161"/>
      <c r="CG343" s="161"/>
      <c r="CH343" s="161"/>
      <c r="CI343" s="161"/>
      <c r="CJ343" s="161"/>
      <c r="CK343" s="161"/>
      <c r="CL343" s="161"/>
      <c r="CM343" s="161"/>
      <c r="CN343" s="161"/>
      <c r="CO343" s="161"/>
      <c r="CP343" s="161"/>
      <c r="CQ343" s="161"/>
      <c r="CR343" s="161"/>
      <c r="CS343" s="161"/>
      <c r="CT343" s="161"/>
      <c r="CU343" s="161"/>
      <c r="CV343" s="161"/>
      <c r="CW343" s="161"/>
      <c r="CX343" s="161"/>
      <c r="CY343" s="161"/>
      <c r="CZ343" s="161"/>
      <c r="DA343" s="161"/>
      <c r="DB343" s="161"/>
      <c r="DC343" s="161"/>
      <c r="DD343" s="161"/>
      <c r="DE343" s="161"/>
      <c r="DF343" s="161"/>
      <c r="DG343" s="161"/>
      <c r="DH343" s="161"/>
      <c r="DI343" s="161"/>
      <c r="DJ343" s="161"/>
      <c r="DK343" s="161"/>
      <c r="DL343" s="161"/>
      <c r="DM343" s="161"/>
      <c r="DN343" s="161"/>
      <c r="DO343" s="161"/>
      <c r="DP343" s="161"/>
      <c r="DQ343" s="161"/>
      <c r="DR343" s="161"/>
      <c r="DS343" s="161"/>
      <c r="DT343" s="161"/>
      <c r="DU343" s="161"/>
      <c r="DV343" s="161"/>
      <c r="DW343" s="161"/>
      <c r="DX343" s="161"/>
      <c r="DY343" s="161"/>
      <c r="DZ343" s="161"/>
      <c r="EA343" s="161"/>
      <c r="EB343" s="174"/>
    </row>
    <row r="344" spans="67:132">
      <c r="BO344" s="161"/>
      <c r="BP344" s="161"/>
      <c r="BQ344" s="161"/>
      <c r="BR344" s="161"/>
      <c r="BS344" s="161"/>
      <c r="BT344" s="161"/>
      <c r="BU344" s="161"/>
      <c r="BV344" s="161"/>
      <c r="BW344" s="161"/>
      <c r="BX344" s="161"/>
      <c r="BY344" s="161"/>
      <c r="BZ344" s="161"/>
      <c r="CA344" s="161"/>
      <c r="CB344" s="161"/>
      <c r="CC344" s="161"/>
      <c r="CD344" s="161"/>
      <c r="CE344" s="161"/>
      <c r="CF344" s="161"/>
      <c r="CG344" s="161"/>
      <c r="CH344" s="161"/>
      <c r="CI344" s="161"/>
      <c r="CJ344" s="161"/>
      <c r="CK344" s="161"/>
      <c r="CL344" s="161"/>
      <c r="CM344" s="161"/>
      <c r="CN344" s="161"/>
      <c r="CO344" s="161"/>
      <c r="CP344" s="161"/>
      <c r="CQ344" s="161"/>
      <c r="CR344" s="161"/>
      <c r="CS344" s="161"/>
      <c r="CT344" s="161"/>
      <c r="CU344" s="161"/>
      <c r="CV344" s="161"/>
      <c r="CW344" s="161"/>
      <c r="CX344" s="161"/>
      <c r="CY344" s="161"/>
      <c r="CZ344" s="161"/>
      <c r="DA344" s="161"/>
      <c r="DB344" s="161"/>
      <c r="DC344" s="161"/>
      <c r="DD344" s="161"/>
      <c r="DE344" s="161"/>
      <c r="DF344" s="161"/>
      <c r="DG344" s="161"/>
      <c r="DH344" s="161"/>
      <c r="DI344" s="161"/>
      <c r="DJ344" s="161"/>
      <c r="DK344" s="161"/>
      <c r="DL344" s="161"/>
      <c r="DM344" s="161"/>
      <c r="DN344" s="161"/>
      <c r="DO344" s="161"/>
      <c r="DP344" s="161"/>
      <c r="DQ344" s="161"/>
      <c r="DR344" s="161"/>
      <c r="DS344" s="161"/>
      <c r="DT344" s="161"/>
      <c r="DU344" s="161"/>
      <c r="DV344" s="161"/>
      <c r="DW344" s="161"/>
      <c r="DX344" s="161"/>
      <c r="DY344" s="161"/>
      <c r="DZ344" s="161"/>
      <c r="EA344" s="161"/>
      <c r="EB344" s="174"/>
    </row>
    <row r="345" spans="67:132">
      <c r="BO345" s="161"/>
      <c r="BP345" s="161"/>
      <c r="BQ345" s="161"/>
      <c r="BR345" s="161"/>
      <c r="BS345" s="161"/>
      <c r="BT345" s="161"/>
      <c r="BU345" s="161"/>
      <c r="BV345" s="161"/>
      <c r="BW345" s="161"/>
      <c r="BX345" s="161"/>
      <c r="BY345" s="161"/>
      <c r="BZ345" s="161"/>
      <c r="CA345" s="161"/>
      <c r="CB345" s="161"/>
      <c r="CC345" s="161"/>
      <c r="CD345" s="161"/>
      <c r="CE345" s="161"/>
      <c r="CF345" s="161"/>
      <c r="CG345" s="161"/>
      <c r="CH345" s="161"/>
      <c r="CI345" s="161"/>
      <c r="CJ345" s="161"/>
      <c r="CK345" s="161"/>
      <c r="CL345" s="161"/>
      <c r="CM345" s="161"/>
      <c r="CN345" s="161"/>
      <c r="CO345" s="161"/>
      <c r="CP345" s="161"/>
      <c r="CQ345" s="161"/>
      <c r="CR345" s="161"/>
      <c r="CS345" s="161"/>
      <c r="CT345" s="161"/>
      <c r="CU345" s="161"/>
      <c r="CV345" s="161"/>
      <c r="CW345" s="161"/>
      <c r="CX345" s="161"/>
      <c r="CY345" s="161"/>
      <c r="CZ345" s="161"/>
      <c r="DA345" s="161"/>
      <c r="DB345" s="161"/>
      <c r="DC345" s="161"/>
      <c r="DD345" s="161"/>
      <c r="DE345" s="161"/>
      <c r="DF345" s="161"/>
      <c r="DG345" s="161"/>
      <c r="DH345" s="161"/>
      <c r="DI345" s="161"/>
      <c r="DJ345" s="161"/>
      <c r="DK345" s="161"/>
      <c r="DL345" s="161"/>
      <c r="DM345" s="161"/>
      <c r="DN345" s="161"/>
      <c r="DO345" s="161"/>
      <c r="DP345" s="161"/>
      <c r="DQ345" s="161"/>
      <c r="DR345" s="161"/>
      <c r="DS345" s="161"/>
      <c r="DT345" s="161"/>
      <c r="DU345" s="161"/>
      <c r="DV345" s="161"/>
      <c r="DW345" s="161"/>
      <c r="DX345" s="161"/>
      <c r="DY345" s="161"/>
      <c r="DZ345" s="161"/>
      <c r="EA345" s="161"/>
      <c r="EB345" s="174"/>
    </row>
    <row r="346" spans="67:132">
      <c r="BO346" s="161"/>
      <c r="BP346" s="161"/>
      <c r="BQ346" s="161"/>
      <c r="BR346" s="161"/>
      <c r="BS346" s="161"/>
      <c r="BT346" s="161"/>
      <c r="BU346" s="161"/>
      <c r="BV346" s="161"/>
      <c r="BW346" s="161"/>
      <c r="BX346" s="161"/>
      <c r="BY346" s="161"/>
      <c r="BZ346" s="161"/>
      <c r="CA346" s="161"/>
      <c r="CB346" s="161"/>
      <c r="CC346" s="161"/>
      <c r="CD346" s="161"/>
      <c r="CE346" s="161"/>
      <c r="CF346" s="161"/>
      <c r="CG346" s="161"/>
      <c r="CH346" s="161"/>
      <c r="CI346" s="161"/>
      <c r="CJ346" s="161"/>
      <c r="CK346" s="161"/>
      <c r="CL346" s="161"/>
      <c r="CM346" s="161"/>
      <c r="CN346" s="161"/>
      <c r="CO346" s="161"/>
      <c r="CP346" s="161"/>
      <c r="CQ346" s="161"/>
      <c r="CR346" s="161"/>
      <c r="CS346" s="161"/>
      <c r="CT346" s="161"/>
      <c r="CU346" s="161"/>
      <c r="CV346" s="161"/>
      <c r="CW346" s="161"/>
      <c r="CX346" s="161"/>
      <c r="CY346" s="161"/>
      <c r="CZ346" s="161"/>
      <c r="DA346" s="161"/>
      <c r="DB346" s="161"/>
      <c r="DC346" s="161"/>
      <c r="DD346" s="161"/>
      <c r="DE346" s="161"/>
      <c r="DF346" s="161"/>
      <c r="DG346" s="161"/>
      <c r="DH346" s="161"/>
      <c r="DI346" s="161"/>
      <c r="DJ346" s="161"/>
      <c r="DK346" s="161"/>
      <c r="DL346" s="161"/>
      <c r="DM346" s="161"/>
      <c r="DN346" s="161"/>
      <c r="DO346" s="161"/>
      <c r="DP346" s="161"/>
      <c r="DQ346" s="161"/>
      <c r="DR346" s="161"/>
      <c r="DS346" s="161"/>
      <c r="DT346" s="161"/>
      <c r="DU346" s="161"/>
      <c r="DV346" s="161"/>
      <c r="DW346" s="161"/>
      <c r="DX346" s="161"/>
      <c r="DY346" s="161"/>
      <c r="DZ346" s="161"/>
      <c r="EA346" s="161"/>
      <c r="EB346" s="174"/>
    </row>
    <row r="347" spans="67:132">
      <c r="BO347" s="161"/>
      <c r="BP347" s="161"/>
      <c r="BQ347" s="161"/>
      <c r="BR347" s="161"/>
      <c r="BS347" s="161"/>
      <c r="BT347" s="161"/>
      <c r="BU347" s="161"/>
      <c r="BV347" s="161"/>
      <c r="BW347" s="161"/>
      <c r="BX347" s="161"/>
      <c r="BY347" s="161"/>
      <c r="BZ347" s="161"/>
      <c r="CA347" s="161"/>
      <c r="CB347" s="161"/>
      <c r="CC347" s="161"/>
      <c r="CD347" s="161"/>
      <c r="CE347" s="161"/>
      <c r="CF347" s="161"/>
      <c r="CG347" s="161"/>
      <c r="CH347" s="161"/>
      <c r="CI347" s="161"/>
      <c r="CJ347" s="161"/>
      <c r="CK347" s="161"/>
      <c r="CL347" s="161"/>
      <c r="CM347" s="161"/>
      <c r="CN347" s="161"/>
      <c r="CO347" s="161"/>
      <c r="CP347" s="161"/>
      <c r="CQ347" s="161"/>
      <c r="CR347" s="161"/>
      <c r="CS347" s="161"/>
      <c r="CT347" s="161"/>
      <c r="CU347" s="161"/>
      <c r="CV347" s="161"/>
      <c r="CW347" s="161"/>
      <c r="CX347" s="161"/>
      <c r="CY347" s="161"/>
      <c r="CZ347" s="161"/>
      <c r="DA347" s="161"/>
      <c r="DB347" s="161"/>
      <c r="DC347" s="161"/>
      <c r="DD347" s="161"/>
      <c r="DE347" s="161"/>
      <c r="DF347" s="161"/>
      <c r="DG347" s="161"/>
      <c r="DH347" s="161"/>
      <c r="DI347" s="161"/>
      <c r="DJ347" s="161"/>
      <c r="DK347" s="161"/>
      <c r="DL347" s="161"/>
      <c r="DM347" s="161"/>
      <c r="DN347" s="161"/>
      <c r="DO347" s="161"/>
      <c r="DP347" s="161"/>
      <c r="DQ347" s="161"/>
      <c r="DR347" s="161"/>
      <c r="DS347" s="161"/>
      <c r="DT347" s="161"/>
      <c r="DU347" s="161"/>
      <c r="DV347" s="161"/>
      <c r="DW347" s="161"/>
      <c r="DX347" s="161"/>
      <c r="DY347" s="161"/>
      <c r="DZ347" s="161"/>
      <c r="EA347" s="161"/>
      <c r="EB347" s="174"/>
    </row>
    <row r="348" spans="67:132">
      <c r="BO348" s="161"/>
      <c r="BP348" s="161"/>
      <c r="BQ348" s="161"/>
      <c r="BR348" s="161"/>
      <c r="BS348" s="161"/>
      <c r="BT348" s="161"/>
      <c r="BU348" s="161"/>
      <c r="BV348" s="161"/>
      <c r="BW348" s="161"/>
      <c r="BX348" s="161"/>
      <c r="BY348" s="161"/>
      <c r="BZ348" s="161"/>
      <c r="CA348" s="161"/>
      <c r="CB348" s="161"/>
      <c r="CC348" s="161"/>
      <c r="CD348" s="161"/>
      <c r="CE348" s="161"/>
      <c r="CF348" s="161"/>
      <c r="CG348" s="161"/>
      <c r="CH348" s="161"/>
      <c r="CI348" s="161"/>
      <c r="CJ348" s="161"/>
      <c r="CK348" s="161"/>
      <c r="CL348" s="161"/>
      <c r="CM348" s="161"/>
      <c r="CN348" s="161"/>
      <c r="CO348" s="161"/>
      <c r="CP348" s="161"/>
      <c r="CQ348" s="161"/>
      <c r="CR348" s="161"/>
      <c r="CS348" s="161"/>
      <c r="CT348" s="161"/>
      <c r="CU348" s="161"/>
      <c r="CV348" s="161"/>
      <c r="CW348" s="161"/>
      <c r="CX348" s="161"/>
      <c r="CY348" s="161"/>
      <c r="CZ348" s="161"/>
      <c r="DA348" s="161"/>
      <c r="DB348" s="161"/>
      <c r="DC348" s="161"/>
      <c r="DD348" s="161"/>
      <c r="DE348" s="161"/>
      <c r="DF348" s="161"/>
      <c r="DG348" s="161"/>
      <c r="DH348" s="161"/>
      <c r="DI348" s="161"/>
      <c r="DJ348" s="161"/>
      <c r="DK348" s="161"/>
      <c r="DL348" s="161"/>
      <c r="DM348" s="161"/>
      <c r="DN348" s="161"/>
      <c r="DO348" s="161"/>
      <c r="DP348" s="161"/>
      <c r="DQ348" s="161"/>
      <c r="DR348" s="161"/>
      <c r="DS348" s="161"/>
      <c r="DT348" s="161"/>
      <c r="DU348" s="161"/>
      <c r="DV348" s="161"/>
      <c r="DW348" s="161"/>
      <c r="DX348" s="161"/>
      <c r="DY348" s="161"/>
      <c r="DZ348" s="161"/>
      <c r="EA348" s="161"/>
      <c r="EB348" s="174"/>
    </row>
    <row r="349" spans="67:132">
      <c r="BO349" s="161"/>
      <c r="BP349" s="161"/>
      <c r="BQ349" s="161"/>
      <c r="BR349" s="161"/>
      <c r="BS349" s="161"/>
      <c r="BT349" s="161"/>
      <c r="BU349" s="161"/>
      <c r="BV349" s="161"/>
      <c r="BW349" s="161"/>
      <c r="BX349" s="161"/>
      <c r="BY349" s="161"/>
      <c r="BZ349" s="161"/>
      <c r="CA349" s="161"/>
      <c r="CB349" s="161"/>
      <c r="CC349" s="161"/>
      <c r="CD349" s="161"/>
      <c r="CE349" s="161"/>
      <c r="CF349" s="161"/>
      <c r="CG349" s="161"/>
      <c r="CH349" s="161"/>
      <c r="CI349" s="161"/>
      <c r="CJ349" s="161"/>
      <c r="CK349" s="161"/>
      <c r="CL349" s="161"/>
      <c r="CM349" s="161"/>
      <c r="CN349" s="161"/>
      <c r="CO349" s="161"/>
      <c r="CP349" s="161"/>
      <c r="CQ349" s="161"/>
      <c r="CR349" s="161"/>
      <c r="CS349" s="161"/>
      <c r="CT349" s="161"/>
      <c r="CU349" s="161"/>
      <c r="CV349" s="161"/>
      <c r="CW349" s="161"/>
      <c r="CX349" s="161"/>
      <c r="CY349" s="161"/>
      <c r="CZ349" s="161"/>
      <c r="DA349" s="161"/>
      <c r="DB349" s="161"/>
      <c r="DC349" s="161"/>
      <c r="DD349" s="161"/>
      <c r="DE349" s="161"/>
      <c r="DF349" s="161"/>
      <c r="DG349" s="161"/>
      <c r="DH349" s="161"/>
      <c r="DI349" s="161"/>
      <c r="DJ349" s="161"/>
      <c r="DK349" s="161"/>
      <c r="DL349" s="161"/>
      <c r="DM349" s="161"/>
      <c r="DN349" s="161"/>
      <c r="DO349" s="161"/>
      <c r="DP349" s="161"/>
      <c r="DQ349" s="161"/>
      <c r="DR349" s="161"/>
      <c r="DS349" s="161"/>
      <c r="DT349" s="161"/>
      <c r="DU349" s="161"/>
      <c r="DV349" s="161"/>
      <c r="DW349" s="161"/>
      <c r="DX349" s="161"/>
      <c r="DY349" s="161"/>
      <c r="DZ349" s="161"/>
      <c r="EA349" s="161"/>
      <c r="EB349" s="174"/>
    </row>
    <row r="350" spans="67:132">
      <c r="BO350" s="161"/>
      <c r="BP350" s="161"/>
      <c r="BQ350" s="161"/>
      <c r="BR350" s="161"/>
      <c r="BS350" s="161"/>
      <c r="BT350" s="161"/>
      <c r="BU350" s="161"/>
      <c r="BV350" s="161"/>
      <c r="BW350" s="161"/>
      <c r="BX350" s="161"/>
      <c r="BY350" s="161"/>
      <c r="BZ350" s="161"/>
      <c r="CA350" s="161"/>
      <c r="CB350" s="161"/>
      <c r="CC350" s="161"/>
      <c r="CD350" s="161"/>
      <c r="CE350" s="161"/>
      <c r="CF350" s="161"/>
      <c r="CG350" s="161"/>
      <c r="CH350" s="161"/>
      <c r="CI350" s="161"/>
      <c r="CJ350" s="161"/>
      <c r="CK350" s="161"/>
      <c r="CL350" s="161"/>
      <c r="CM350" s="161"/>
      <c r="CN350" s="161"/>
      <c r="CO350" s="161"/>
      <c r="CP350" s="161"/>
      <c r="CQ350" s="161"/>
      <c r="CR350" s="161"/>
      <c r="CS350" s="161"/>
      <c r="CT350" s="161"/>
      <c r="CU350" s="161"/>
      <c r="CV350" s="161"/>
      <c r="CW350" s="161"/>
      <c r="CX350" s="161"/>
      <c r="CY350" s="161"/>
      <c r="CZ350" s="161"/>
      <c r="DA350" s="161"/>
      <c r="DB350" s="161"/>
      <c r="DC350" s="161"/>
      <c r="DD350" s="161"/>
      <c r="DE350" s="161"/>
      <c r="DF350" s="161"/>
      <c r="DG350" s="161"/>
      <c r="DH350" s="161"/>
      <c r="DI350" s="161"/>
      <c r="DJ350" s="161"/>
      <c r="DK350" s="161"/>
      <c r="DL350" s="161"/>
      <c r="DM350" s="161"/>
      <c r="DN350" s="161"/>
      <c r="DO350" s="161"/>
      <c r="DP350" s="161"/>
      <c r="DQ350" s="161"/>
      <c r="DR350" s="161"/>
      <c r="DS350" s="161"/>
      <c r="DT350" s="161"/>
      <c r="DU350" s="161"/>
      <c r="DV350" s="161"/>
      <c r="DW350" s="161"/>
      <c r="DX350" s="161"/>
      <c r="DY350" s="161"/>
      <c r="DZ350" s="161"/>
      <c r="EA350" s="161"/>
      <c r="EB350" s="174"/>
    </row>
    <row r="351" spans="67:132">
      <c r="BO351" s="161"/>
      <c r="BP351" s="161"/>
      <c r="BQ351" s="161"/>
      <c r="BR351" s="161"/>
      <c r="BS351" s="161"/>
      <c r="BT351" s="161"/>
      <c r="BU351" s="161"/>
      <c r="BV351" s="161"/>
      <c r="BW351" s="161"/>
      <c r="BX351" s="161"/>
      <c r="BY351" s="161"/>
      <c r="BZ351" s="161"/>
      <c r="CA351" s="161"/>
      <c r="CB351" s="161"/>
      <c r="CC351" s="161"/>
      <c r="CD351" s="161"/>
      <c r="CE351" s="161"/>
      <c r="CF351" s="161"/>
      <c r="CG351" s="161"/>
      <c r="CH351" s="161"/>
      <c r="CI351" s="161"/>
      <c r="CJ351" s="161"/>
      <c r="CK351" s="161"/>
      <c r="CL351" s="161"/>
      <c r="CM351" s="161"/>
      <c r="CN351" s="161"/>
      <c r="CO351" s="161"/>
      <c r="CP351" s="161"/>
      <c r="CQ351" s="161"/>
      <c r="CR351" s="161"/>
      <c r="CS351" s="161"/>
      <c r="CT351" s="161"/>
      <c r="CU351" s="161"/>
      <c r="CV351" s="161"/>
      <c r="CW351" s="161"/>
      <c r="CX351" s="161"/>
      <c r="CY351" s="161"/>
      <c r="CZ351" s="161"/>
      <c r="DA351" s="161"/>
      <c r="DB351" s="161"/>
      <c r="DC351" s="161"/>
      <c r="DD351" s="161"/>
      <c r="DE351" s="161"/>
      <c r="DF351" s="161"/>
      <c r="DG351" s="161"/>
      <c r="DH351" s="161"/>
      <c r="DI351" s="161"/>
      <c r="DJ351" s="161"/>
      <c r="DK351" s="161"/>
      <c r="DL351" s="161"/>
      <c r="DM351" s="161"/>
      <c r="DN351" s="161"/>
      <c r="DO351" s="161"/>
      <c r="DP351" s="161"/>
      <c r="DQ351" s="161"/>
      <c r="DR351" s="161"/>
      <c r="DS351" s="161"/>
      <c r="DT351" s="161"/>
      <c r="DU351" s="161"/>
      <c r="DV351" s="161"/>
      <c r="DW351" s="161"/>
      <c r="DX351" s="161"/>
      <c r="DY351" s="161"/>
      <c r="DZ351" s="161"/>
      <c r="EA351" s="161"/>
      <c r="EB351" s="174"/>
    </row>
    <row r="352" spans="67:132">
      <c r="BO352" s="161"/>
      <c r="BP352" s="161"/>
      <c r="BQ352" s="161"/>
      <c r="BR352" s="161"/>
      <c r="BS352" s="161"/>
      <c r="BT352" s="161"/>
      <c r="BU352" s="161"/>
      <c r="BV352" s="161"/>
      <c r="BW352" s="161"/>
      <c r="BX352" s="161"/>
      <c r="BY352" s="161"/>
      <c r="BZ352" s="161"/>
      <c r="CA352" s="161"/>
      <c r="CB352" s="161"/>
      <c r="CC352" s="161"/>
      <c r="CD352" s="161"/>
      <c r="CE352" s="161"/>
      <c r="CF352" s="161"/>
      <c r="CG352" s="161"/>
      <c r="CH352" s="161"/>
      <c r="CI352" s="161"/>
      <c r="CJ352" s="161"/>
      <c r="CK352" s="161"/>
      <c r="CL352" s="161"/>
      <c r="CM352" s="161"/>
      <c r="CN352" s="161"/>
      <c r="CO352" s="161"/>
      <c r="CP352" s="161"/>
      <c r="CQ352" s="161"/>
      <c r="CR352" s="161"/>
      <c r="CS352" s="161"/>
      <c r="CT352" s="161"/>
      <c r="CU352" s="161"/>
      <c r="CV352" s="161"/>
      <c r="CW352" s="161"/>
      <c r="CX352" s="161"/>
      <c r="CY352" s="161"/>
      <c r="CZ352" s="161"/>
      <c r="DA352" s="161"/>
      <c r="DB352" s="161"/>
      <c r="DC352" s="161"/>
      <c r="DD352" s="161"/>
      <c r="DE352" s="161"/>
      <c r="DF352" s="161"/>
      <c r="DG352" s="161"/>
      <c r="DH352" s="161"/>
      <c r="DI352" s="161"/>
      <c r="DJ352" s="161"/>
      <c r="DK352" s="161"/>
      <c r="DL352" s="161"/>
      <c r="DM352" s="161"/>
      <c r="DN352" s="161"/>
      <c r="DO352" s="161"/>
      <c r="DP352" s="161"/>
      <c r="DQ352" s="161"/>
      <c r="DR352" s="161"/>
      <c r="DS352" s="161"/>
      <c r="DT352" s="161"/>
      <c r="DU352" s="161"/>
      <c r="DV352" s="161"/>
      <c r="DW352" s="161"/>
      <c r="DX352" s="161"/>
      <c r="DY352" s="161"/>
      <c r="DZ352" s="161"/>
      <c r="EA352" s="161"/>
      <c r="EB352" s="174"/>
    </row>
    <row r="353" spans="67:132">
      <c r="BO353" s="161"/>
      <c r="BP353" s="161"/>
      <c r="BQ353" s="161"/>
      <c r="BR353" s="161"/>
      <c r="BS353" s="161"/>
      <c r="BT353" s="161"/>
      <c r="BU353" s="161"/>
      <c r="BV353" s="161"/>
      <c r="BW353" s="161"/>
      <c r="BX353" s="161"/>
      <c r="BY353" s="161"/>
      <c r="BZ353" s="161"/>
      <c r="CA353" s="161"/>
      <c r="CB353" s="161"/>
      <c r="CC353" s="161"/>
      <c r="CD353" s="161"/>
      <c r="CE353" s="161"/>
      <c r="CF353" s="161"/>
      <c r="CG353" s="161"/>
      <c r="CH353" s="161"/>
      <c r="CI353" s="161"/>
      <c r="CJ353" s="161"/>
      <c r="CK353" s="161"/>
      <c r="CL353" s="161"/>
      <c r="CM353" s="161"/>
      <c r="CN353" s="161"/>
      <c r="CO353" s="161"/>
      <c r="CP353" s="161"/>
      <c r="CQ353" s="161"/>
      <c r="CR353" s="161"/>
      <c r="CS353" s="161"/>
      <c r="CT353" s="161"/>
      <c r="CU353" s="161"/>
      <c r="CV353" s="161"/>
      <c r="CW353" s="161"/>
      <c r="CX353" s="161"/>
      <c r="CY353" s="161"/>
      <c r="CZ353" s="161"/>
      <c r="DA353" s="161"/>
      <c r="DB353" s="161"/>
      <c r="DC353" s="161"/>
      <c r="DD353" s="161"/>
      <c r="DE353" s="161"/>
      <c r="DF353" s="161"/>
      <c r="DG353" s="161"/>
      <c r="DH353" s="161"/>
      <c r="DI353" s="161"/>
      <c r="DJ353" s="161"/>
      <c r="DK353" s="161"/>
      <c r="DL353" s="161"/>
      <c r="DM353" s="161"/>
      <c r="DN353" s="161"/>
      <c r="DO353" s="161"/>
      <c r="DP353" s="161"/>
      <c r="DQ353" s="161"/>
      <c r="DR353" s="161"/>
      <c r="DS353" s="161"/>
      <c r="DT353" s="161"/>
      <c r="DU353" s="161"/>
      <c r="DV353" s="161"/>
      <c r="DW353" s="161"/>
      <c r="DX353" s="161"/>
      <c r="DY353" s="161"/>
      <c r="DZ353" s="161"/>
      <c r="EA353" s="161"/>
      <c r="EB353" s="174"/>
    </row>
    <row r="354" spans="67:132">
      <c r="BO354" s="161"/>
      <c r="BP354" s="161"/>
      <c r="BQ354" s="161"/>
      <c r="BR354" s="161"/>
      <c r="BS354" s="161"/>
      <c r="BT354" s="161"/>
      <c r="BU354" s="161"/>
      <c r="BV354" s="161"/>
      <c r="BW354" s="161"/>
      <c r="BX354" s="161"/>
      <c r="BY354" s="161"/>
      <c r="BZ354" s="161"/>
      <c r="CA354" s="161"/>
      <c r="CB354" s="161"/>
      <c r="CC354" s="161"/>
      <c r="CD354" s="161"/>
      <c r="CE354" s="161"/>
      <c r="CF354" s="161"/>
      <c r="CG354" s="161"/>
      <c r="CH354" s="161"/>
      <c r="CI354" s="161"/>
      <c r="CJ354" s="161"/>
      <c r="CK354" s="161"/>
      <c r="CL354" s="161"/>
      <c r="CM354" s="161"/>
      <c r="CN354" s="161"/>
      <c r="CO354" s="161"/>
      <c r="CP354" s="161"/>
      <c r="CQ354" s="161"/>
      <c r="CR354" s="161"/>
      <c r="CS354" s="161"/>
      <c r="CT354" s="161"/>
      <c r="CU354" s="161"/>
      <c r="CV354" s="161"/>
      <c r="CW354" s="161"/>
      <c r="CX354" s="161"/>
      <c r="CY354" s="161"/>
      <c r="CZ354" s="161"/>
      <c r="DA354" s="161"/>
      <c r="DB354" s="161"/>
      <c r="DC354" s="161"/>
      <c r="DD354" s="161"/>
      <c r="DE354" s="161"/>
      <c r="DF354" s="161"/>
      <c r="DG354" s="161"/>
      <c r="DH354" s="161"/>
      <c r="DI354" s="161"/>
      <c r="DJ354" s="161"/>
      <c r="DK354" s="161"/>
      <c r="DL354" s="161"/>
      <c r="DM354" s="161"/>
      <c r="DN354" s="161"/>
      <c r="DO354" s="161"/>
      <c r="DP354" s="161"/>
      <c r="DQ354" s="161"/>
      <c r="DR354" s="161"/>
      <c r="DS354" s="161"/>
      <c r="DT354" s="161"/>
      <c r="DU354" s="161"/>
      <c r="DV354" s="161"/>
      <c r="DW354" s="161"/>
      <c r="DX354" s="161"/>
      <c r="DY354" s="161"/>
      <c r="DZ354" s="161"/>
      <c r="EA354" s="161"/>
      <c r="EB354" s="174"/>
    </row>
    <row r="355" spans="67:132">
      <c r="BO355" s="161"/>
      <c r="BP355" s="161"/>
      <c r="BQ355" s="161"/>
      <c r="BR355" s="161"/>
      <c r="BS355" s="161"/>
      <c r="BT355" s="161"/>
      <c r="BU355" s="161"/>
      <c r="BV355" s="161"/>
      <c r="BW355" s="161"/>
      <c r="BX355" s="161"/>
      <c r="BY355" s="161"/>
      <c r="BZ355" s="161"/>
      <c r="CA355" s="161"/>
      <c r="CB355" s="161"/>
      <c r="CC355" s="161"/>
      <c r="CD355" s="161"/>
      <c r="CE355" s="161"/>
      <c r="CF355" s="161"/>
      <c r="CG355" s="161"/>
      <c r="CH355" s="161"/>
      <c r="CI355" s="161"/>
      <c r="CJ355" s="161"/>
      <c r="CK355" s="161"/>
      <c r="CL355" s="161"/>
      <c r="CM355" s="161"/>
      <c r="CN355" s="161"/>
      <c r="CO355" s="161"/>
      <c r="CP355" s="161"/>
      <c r="CQ355" s="161"/>
      <c r="CR355" s="161"/>
      <c r="CS355" s="161"/>
      <c r="CT355" s="161"/>
      <c r="CU355" s="161"/>
      <c r="CV355" s="161"/>
      <c r="CW355" s="161"/>
      <c r="CX355" s="161"/>
      <c r="CY355" s="161"/>
      <c r="CZ355" s="161"/>
      <c r="DA355" s="161"/>
      <c r="DB355" s="161"/>
      <c r="DC355" s="161"/>
      <c r="DD355" s="161"/>
      <c r="DE355" s="161"/>
      <c r="DF355" s="161"/>
      <c r="DG355" s="161"/>
      <c r="DH355" s="161"/>
      <c r="DI355" s="161"/>
      <c r="DJ355" s="161"/>
      <c r="DK355" s="161"/>
      <c r="DL355" s="161"/>
      <c r="DM355" s="161"/>
      <c r="DN355" s="161"/>
      <c r="DO355" s="161"/>
      <c r="DP355" s="161"/>
      <c r="DQ355" s="161"/>
      <c r="DR355" s="161"/>
      <c r="DS355" s="161"/>
      <c r="DT355" s="161"/>
      <c r="DU355" s="161"/>
      <c r="DV355" s="161"/>
      <c r="DW355" s="161"/>
      <c r="DX355" s="161"/>
      <c r="DY355" s="161"/>
      <c r="DZ355" s="161"/>
      <c r="EA355" s="161"/>
      <c r="EB355" s="174"/>
    </row>
    <row r="356" spans="67:132">
      <c r="BO356" s="161"/>
      <c r="BP356" s="161"/>
      <c r="BQ356" s="161"/>
      <c r="BR356" s="161"/>
      <c r="BS356" s="161"/>
      <c r="BT356" s="161"/>
      <c r="BU356" s="161"/>
      <c r="BV356" s="161"/>
      <c r="BW356" s="161"/>
      <c r="BX356" s="161"/>
      <c r="BY356" s="161"/>
      <c r="BZ356" s="161"/>
      <c r="CA356" s="161"/>
      <c r="CB356" s="161"/>
      <c r="CC356" s="161"/>
      <c r="CD356" s="161"/>
      <c r="CE356" s="161"/>
      <c r="CF356" s="161"/>
      <c r="CG356" s="161"/>
      <c r="CH356" s="161"/>
      <c r="CI356" s="161"/>
      <c r="CJ356" s="161"/>
      <c r="CK356" s="161"/>
      <c r="CL356" s="161"/>
      <c r="CM356" s="161"/>
      <c r="CN356" s="161"/>
      <c r="CO356" s="161"/>
      <c r="CP356" s="161"/>
      <c r="CQ356" s="161"/>
      <c r="CR356" s="161"/>
      <c r="CS356" s="161"/>
      <c r="CT356" s="161"/>
      <c r="CU356" s="161"/>
      <c r="CV356" s="161"/>
      <c r="CW356" s="161"/>
      <c r="CX356" s="161"/>
      <c r="CY356" s="161"/>
      <c r="CZ356" s="161"/>
      <c r="DA356" s="161"/>
      <c r="DB356" s="161"/>
      <c r="DC356" s="161"/>
      <c r="DD356" s="161"/>
      <c r="DE356" s="161"/>
      <c r="DF356" s="161"/>
      <c r="DG356" s="161"/>
      <c r="DH356" s="161"/>
      <c r="DI356" s="161"/>
      <c r="DJ356" s="161"/>
      <c r="DK356" s="161"/>
      <c r="DL356" s="161"/>
      <c r="DM356" s="161"/>
      <c r="DN356" s="161"/>
      <c r="DO356" s="161"/>
      <c r="DP356" s="161"/>
      <c r="DQ356" s="161"/>
      <c r="DR356" s="161"/>
      <c r="DS356" s="161"/>
      <c r="DT356" s="161"/>
      <c r="DU356" s="161"/>
      <c r="DV356" s="161"/>
      <c r="DW356" s="161"/>
      <c r="DX356" s="161"/>
      <c r="DY356" s="161"/>
      <c r="DZ356" s="161"/>
      <c r="EA356" s="161"/>
      <c r="EB356" s="174"/>
    </row>
    <row r="357" spans="67:132">
      <c r="BO357" s="161"/>
      <c r="BP357" s="161"/>
      <c r="BQ357" s="161"/>
      <c r="BR357" s="161"/>
      <c r="BS357" s="161"/>
      <c r="BT357" s="161"/>
      <c r="BU357" s="161"/>
      <c r="BV357" s="161"/>
      <c r="BW357" s="161"/>
      <c r="BX357" s="161"/>
      <c r="BY357" s="161"/>
      <c r="BZ357" s="161"/>
      <c r="CA357" s="161"/>
      <c r="CB357" s="161"/>
      <c r="CC357" s="161"/>
      <c r="CD357" s="161"/>
      <c r="CE357" s="161"/>
      <c r="CF357" s="161"/>
      <c r="CG357" s="161"/>
      <c r="CH357" s="161"/>
      <c r="CI357" s="161"/>
      <c r="CJ357" s="161"/>
      <c r="CK357" s="161"/>
      <c r="CL357" s="161"/>
      <c r="CM357" s="161"/>
      <c r="CN357" s="161"/>
      <c r="CO357" s="161"/>
      <c r="CP357" s="161"/>
      <c r="CQ357" s="161"/>
      <c r="CR357" s="161"/>
      <c r="CS357" s="161"/>
      <c r="CT357" s="161"/>
      <c r="CU357" s="161"/>
      <c r="CV357" s="161"/>
      <c r="CW357" s="161"/>
      <c r="CX357" s="161"/>
      <c r="CY357" s="161"/>
      <c r="CZ357" s="161"/>
      <c r="DA357" s="161"/>
      <c r="DB357" s="161"/>
      <c r="DC357" s="161"/>
      <c r="DD357" s="161"/>
      <c r="DE357" s="161"/>
      <c r="DF357" s="161"/>
      <c r="DG357" s="161"/>
      <c r="DH357" s="161"/>
      <c r="DI357" s="161"/>
      <c r="DJ357" s="161"/>
      <c r="DK357" s="161"/>
      <c r="DL357" s="161"/>
      <c r="DM357" s="161"/>
      <c r="DN357" s="161"/>
      <c r="DO357" s="161"/>
      <c r="DP357" s="161"/>
      <c r="DQ357" s="161"/>
      <c r="DR357" s="161"/>
      <c r="DS357" s="161"/>
      <c r="DT357" s="161"/>
      <c r="DU357" s="161"/>
      <c r="DV357" s="161"/>
      <c r="DW357" s="161"/>
      <c r="DX357" s="161"/>
      <c r="DY357" s="161"/>
      <c r="DZ357" s="161"/>
      <c r="EA357" s="161"/>
      <c r="EB357" s="174"/>
    </row>
    <row r="358" spans="67:132">
      <c r="BO358" s="161"/>
      <c r="BP358" s="161"/>
      <c r="BQ358" s="161"/>
      <c r="BR358" s="161"/>
      <c r="BS358" s="161"/>
      <c r="BT358" s="161"/>
      <c r="BU358" s="161"/>
      <c r="BV358" s="161"/>
      <c r="BW358" s="161"/>
      <c r="BX358" s="161"/>
      <c r="BY358" s="161"/>
      <c r="BZ358" s="161"/>
      <c r="CA358" s="161"/>
      <c r="CB358" s="161"/>
      <c r="CC358" s="161"/>
      <c r="CD358" s="161"/>
      <c r="CE358" s="161"/>
      <c r="CF358" s="161"/>
      <c r="CG358" s="161"/>
      <c r="CH358" s="161"/>
      <c r="CI358" s="161"/>
      <c r="CJ358" s="161"/>
      <c r="CK358" s="161"/>
      <c r="CL358" s="161"/>
      <c r="CM358" s="161"/>
      <c r="CN358" s="161"/>
      <c r="CO358" s="161"/>
      <c r="CP358" s="161"/>
      <c r="CQ358" s="161"/>
      <c r="CR358" s="161"/>
      <c r="CS358" s="161"/>
      <c r="CT358" s="161"/>
      <c r="CU358" s="161"/>
      <c r="CV358" s="161"/>
      <c r="CW358" s="161"/>
      <c r="CX358" s="161"/>
      <c r="CY358" s="161"/>
      <c r="CZ358" s="161"/>
      <c r="DA358" s="161"/>
      <c r="DB358" s="161"/>
      <c r="DC358" s="161"/>
      <c r="DD358" s="161"/>
      <c r="DE358" s="161"/>
      <c r="DF358" s="161"/>
      <c r="DG358" s="161"/>
      <c r="DH358" s="161"/>
      <c r="DI358" s="161"/>
      <c r="DJ358" s="161"/>
      <c r="DK358" s="161"/>
      <c r="DL358" s="161"/>
      <c r="DM358" s="161"/>
      <c r="DN358" s="161"/>
      <c r="DO358" s="161"/>
      <c r="DP358" s="161"/>
      <c r="DQ358" s="161"/>
      <c r="DR358" s="161"/>
      <c r="DS358" s="161"/>
      <c r="DT358" s="161"/>
      <c r="DU358" s="161"/>
      <c r="DV358" s="161"/>
      <c r="DW358" s="161"/>
      <c r="DX358" s="161"/>
      <c r="DY358" s="161"/>
      <c r="DZ358" s="161"/>
      <c r="EA358" s="161"/>
      <c r="EB358" s="174"/>
    </row>
    <row r="359" spans="67:132">
      <c r="BO359" s="161"/>
      <c r="BP359" s="161"/>
      <c r="BQ359" s="161"/>
      <c r="BR359" s="161"/>
      <c r="BS359" s="161"/>
      <c r="BT359" s="161"/>
      <c r="BU359" s="161"/>
      <c r="BV359" s="161"/>
      <c r="BW359" s="161"/>
      <c r="BX359" s="161"/>
      <c r="BY359" s="161"/>
      <c r="BZ359" s="161"/>
      <c r="CA359" s="161"/>
      <c r="CB359" s="161"/>
      <c r="CC359" s="161"/>
      <c r="CD359" s="161"/>
      <c r="CE359" s="161"/>
      <c r="CF359" s="161"/>
      <c r="CG359" s="161"/>
      <c r="CH359" s="161"/>
      <c r="CI359" s="161"/>
      <c r="CJ359" s="161"/>
      <c r="CK359" s="161"/>
      <c r="CL359" s="161"/>
      <c r="CM359" s="161"/>
      <c r="CN359" s="161"/>
      <c r="CO359" s="161"/>
      <c r="CP359" s="161"/>
      <c r="CQ359" s="161"/>
      <c r="CR359" s="161"/>
      <c r="CS359" s="161"/>
      <c r="CT359" s="161"/>
      <c r="CU359" s="161"/>
      <c r="CV359" s="161"/>
      <c r="CW359" s="161"/>
      <c r="CX359" s="161"/>
      <c r="CY359" s="161"/>
      <c r="CZ359" s="161"/>
      <c r="DA359" s="161"/>
      <c r="DB359" s="161"/>
      <c r="DC359" s="161"/>
      <c r="DD359" s="161"/>
      <c r="DE359" s="161"/>
      <c r="DF359" s="161"/>
      <c r="DG359" s="161"/>
      <c r="DH359" s="161"/>
      <c r="DI359" s="161"/>
      <c r="DJ359" s="161"/>
      <c r="DK359" s="161"/>
      <c r="DL359" s="161"/>
      <c r="DM359" s="161"/>
      <c r="DN359" s="161"/>
      <c r="DO359" s="161"/>
      <c r="DP359" s="161"/>
      <c r="DQ359" s="161"/>
      <c r="DR359" s="161"/>
      <c r="DS359" s="161"/>
      <c r="DT359" s="161"/>
      <c r="DU359" s="161"/>
      <c r="DV359" s="161"/>
      <c r="DW359" s="161"/>
      <c r="DX359" s="161"/>
      <c r="DY359" s="161"/>
      <c r="DZ359" s="161"/>
      <c r="EA359" s="161"/>
      <c r="EB359" s="174"/>
    </row>
    <row r="360" spans="67:132">
      <c r="BO360" s="161"/>
      <c r="BP360" s="161"/>
      <c r="BQ360" s="161"/>
      <c r="BR360" s="161"/>
      <c r="BS360" s="161"/>
      <c r="BT360" s="161"/>
      <c r="BU360" s="161"/>
      <c r="BV360" s="161"/>
      <c r="BW360" s="161"/>
      <c r="BX360" s="161"/>
      <c r="BY360" s="161"/>
      <c r="BZ360" s="161"/>
      <c r="CA360" s="161"/>
      <c r="CB360" s="161"/>
      <c r="CC360" s="161"/>
      <c r="CD360" s="161"/>
      <c r="CE360" s="161"/>
      <c r="CF360" s="161"/>
      <c r="CG360" s="161"/>
      <c r="CH360" s="161"/>
      <c r="CI360" s="161"/>
      <c r="CJ360" s="161"/>
      <c r="CK360" s="161"/>
      <c r="CL360" s="161"/>
      <c r="CM360" s="161"/>
      <c r="CN360" s="161"/>
      <c r="CO360" s="161"/>
      <c r="CP360" s="161"/>
      <c r="CQ360" s="161"/>
      <c r="CR360" s="161"/>
      <c r="CS360" s="161"/>
      <c r="CT360" s="161"/>
      <c r="CU360" s="161"/>
      <c r="CV360" s="161"/>
      <c r="CW360" s="161"/>
      <c r="CX360" s="161"/>
      <c r="CY360" s="161"/>
      <c r="CZ360" s="161"/>
      <c r="DA360" s="161"/>
      <c r="DB360" s="161"/>
      <c r="DC360" s="161"/>
      <c r="DD360" s="161"/>
      <c r="DE360" s="161"/>
      <c r="DF360" s="161"/>
      <c r="DG360" s="161"/>
      <c r="DH360" s="161"/>
      <c r="DI360" s="161"/>
      <c r="DJ360" s="161"/>
      <c r="DK360" s="161"/>
      <c r="DL360" s="161"/>
      <c r="DM360" s="161"/>
      <c r="DN360" s="161"/>
      <c r="DO360" s="161"/>
      <c r="DP360" s="161"/>
      <c r="DQ360" s="161"/>
      <c r="DR360" s="161"/>
      <c r="DS360" s="161"/>
      <c r="DT360" s="161"/>
      <c r="DU360" s="161"/>
      <c r="DV360" s="161"/>
      <c r="DW360" s="161"/>
      <c r="DX360" s="161"/>
      <c r="DY360" s="161"/>
      <c r="DZ360" s="161"/>
      <c r="EA360" s="161"/>
      <c r="EB360" s="174"/>
    </row>
    <row r="361" spans="67:132">
      <c r="BO361" s="161"/>
      <c r="BP361" s="161"/>
      <c r="BQ361" s="161"/>
      <c r="BR361" s="161"/>
      <c r="BS361" s="161"/>
      <c r="BT361" s="161"/>
      <c r="BU361" s="161"/>
      <c r="BV361" s="161"/>
      <c r="BW361" s="161"/>
      <c r="BX361" s="161"/>
      <c r="BY361" s="161"/>
      <c r="BZ361" s="161"/>
      <c r="CA361" s="161"/>
      <c r="CB361" s="161"/>
      <c r="CC361" s="161"/>
      <c r="CD361" s="161"/>
      <c r="CE361" s="161"/>
      <c r="CF361" s="161"/>
      <c r="CG361" s="161"/>
      <c r="CH361" s="161"/>
      <c r="CI361" s="161"/>
      <c r="CJ361" s="161"/>
      <c r="CK361" s="161"/>
      <c r="CL361" s="161"/>
      <c r="CM361" s="161"/>
      <c r="CN361" s="161"/>
      <c r="CO361" s="161"/>
      <c r="CP361" s="161"/>
      <c r="CQ361" s="161"/>
      <c r="CR361" s="161"/>
      <c r="CS361" s="161"/>
      <c r="CT361" s="161"/>
      <c r="CU361" s="161"/>
      <c r="CV361" s="161"/>
      <c r="CW361" s="161"/>
      <c r="CX361" s="161"/>
      <c r="CY361" s="161"/>
      <c r="CZ361" s="161"/>
      <c r="DA361" s="161"/>
      <c r="DB361" s="161"/>
      <c r="DC361" s="161"/>
      <c r="DD361" s="161"/>
      <c r="DE361" s="161"/>
      <c r="DF361" s="161"/>
      <c r="DG361" s="161"/>
      <c r="DH361" s="161"/>
      <c r="DI361" s="161"/>
      <c r="DJ361" s="161"/>
      <c r="DK361" s="161"/>
      <c r="DL361" s="161"/>
      <c r="DM361" s="161"/>
      <c r="DN361" s="161"/>
      <c r="DO361" s="161"/>
      <c r="DP361" s="161"/>
      <c r="DQ361" s="161"/>
      <c r="DR361" s="161"/>
      <c r="DS361" s="161"/>
      <c r="DT361" s="161"/>
      <c r="DU361" s="161"/>
      <c r="DV361" s="161"/>
      <c r="DW361" s="161"/>
      <c r="DX361" s="161"/>
      <c r="DY361" s="161"/>
      <c r="DZ361" s="161"/>
      <c r="EA361" s="161"/>
      <c r="EB361" s="174"/>
    </row>
    <row r="362" spans="67:132">
      <c r="BO362" s="161"/>
      <c r="BP362" s="161"/>
      <c r="BQ362" s="161"/>
      <c r="BR362" s="161"/>
      <c r="BS362" s="161"/>
      <c r="BT362" s="161"/>
      <c r="BU362" s="161"/>
      <c r="BV362" s="161"/>
      <c r="BW362" s="161"/>
      <c r="BX362" s="161"/>
      <c r="BY362" s="161"/>
      <c r="BZ362" s="161"/>
      <c r="CA362" s="161"/>
      <c r="CB362" s="161"/>
      <c r="CC362" s="161"/>
      <c r="CD362" s="161"/>
      <c r="CE362" s="161"/>
      <c r="CF362" s="161"/>
      <c r="CG362" s="161"/>
      <c r="CH362" s="161"/>
      <c r="CI362" s="161"/>
      <c r="CJ362" s="161"/>
      <c r="CK362" s="161"/>
      <c r="CL362" s="161"/>
      <c r="CM362" s="161"/>
      <c r="CN362" s="161"/>
      <c r="CO362" s="161"/>
      <c r="CP362" s="161"/>
      <c r="CQ362" s="161"/>
      <c r="CR362" s="161"/>
      <c r="CS362" s="161"/>
      <c r="CT362" s="161"/>
      <c r="CU362" s="161"/>
      <c r="CV362" s="161"/>
      <c r="CW362" s="161"/>
      <c r="CX362" s="161"/>
      <c r="CY362" s="161"/>
      <c r="CZ362" s="161"/>
      <c r="DA362" s="161"/>
      <c r="DB362" s="161"/>
      <c r="DC362" s="161"/>
      <c r="DD362" s="161"/>
      <c r="DE362" s="161"/>
      <c r="DF362" s="161"/>
      <c r="DG362" s="161"/>
      <c r="DH362" s="161"/>
      <c r="DI362" s="161"/>
      <c r="DJ362" s="161"/>
      <c r="DK362" s="161"/>
      <c r="DL362" s="161"/>
      <c r="DM362" s="161"/>
      <c r="DN362" s="161"/>
      <c r="DO362" s="161"/>
      <c r="DP362" s="161"/>
      <c r="DQ362" s="161"/>
      <c r="DR362" s="161"/>
      <c r="DS362" s="161"/>
      <c r="DT362" s="161"/>
      <c r="DU362" s="161"/>
      <c r="DV362" s="161"/>
      <c r="DW362" s="161"/>
      <c r="DX362" s="161"/>
      <c r="DY362" s="161"/>
      <c r="DZ362" s="161"/>
      <c r="EA362" s="161"/>
      <c r="EB362" s="174"/>
    </row>
    <row r="363" spans="67:132">
      <c r="BO363" s="161"/>
      <c r="BP363" s="161"/>
      <c r="BQ363" s="161"/>
      <c r="BR363" s="161"/>
      <c r="BS363" s="161"/>
      <c r="BT363" s="161"/>
      <c r="BU363" s="161"/>
      <c r="BV363" s="161"/>
      <c r="BW363" s="161"/>
      <c r="BX363" s="161"/>
      <c r="BY363" s="161"/>
      <c r="BZ363" s="161"/>
      <c r="CA363" s="161"/>
      <c r="CB363" s="161"/>
      <c r="CC363" s="161"/>
      <c r="CD363" s="161"/>
      <c r="CE363" s="161"/>
      <c r="CF363" s="161"/>
      <c r="CG363" s="161"/>
      <c r="CH363" s="161"/>
      <c r="CI363" s="161"/>
      <c r="CJ363" s="161"/>
      <c r="CK363" s="161"/>
      <c r="CL363" s="161"/>
      <c r="CM363" s="161"/>
      <c r="CN363" s="161"/>
      <c r="CO363" s="161"/>
      <c r="CP363" s="161"/>
      <c r="CQ363" s="161"/>
      <c r="CR363" s="161"/>
      <c r="CS363" s="161"/>
      <c r="CT363" s="161"/>
      <c r="CU363" s="161"/>
      <c r="CV363" s="161"/>
      <c r="CW363" s="161"/>
      <c r="CX363" s="161"/>
      <c r="CY363" s="161"/>
      <c r="CZ363" s="161"/>
      <c r="DA363" s="161"/>
      <c r="DB363" s="161"/>
      <c r="DC363" s="161"/>
      <c r="DD363" s="161"/>
      <c r="DE363" s="161"/>
      <c r="DF363" s="161"/>
      <c r="DG363" s="161"/>
      <c r="DH363" s="161"/>
      <c r="DI363" s="161"/>
      <c r="DJ363" s="161"/>
      <c r="DK363" s="161"/>
      <c r="DL363" s="161"/>
      <c r="DM363" s="161"/>
      <c r="DN363" s="161"/>
      <c r="DO363" s="161"/>
      <c r="DP363" s="161"/>
      <c r="DQ363" s="161"/>
      <c r="DR363" s="161"/>
      <c r="DS363" s="161"/>
      <c r="DT363" s="161"/>
      <c r="DU363" s="161"/>
      <c r="DV363" s="161"/>
      <c r="DW363" s="161"/>
      <c r="DX363" s="161"/>
      <c r="DY363" s="161"/>
      <c r="DZ363" s="161"/>
      <c r="EA363" s="161"/>
      <c r="EB363" s="174"/>
    </row>
    <row r="364" spans="67:132">
      <c r="BO364" s="161"/>
      <c r="BP364" s="161"/>
      <c r="BQ364" s="161"/>
      <c r="BR364" s="161"/>
      <c r="BS364" s="161"/>
      <c r="BT364" s="161"/>
      <c r="BU364" s="161"/>
      <c r="BV364" s="161"/>
      <c r="BW364" s="161"/>
      <c r="BX364" s="161"/>
      <c r="BY364" s="161"/>
      <c r="BZ364" s="161"/>
      <c r="CA364" s="161"/>
      <c r="CB364" s="161"/>
      <c r="CC364" s="161"/>
      <c r="CD364" s="161"/>
      <c r="CE364" s="161"/>
      <c r="CF364" s="161"/>
      <c r="CG364" s="161"/>
      <c r="CH364" s="161"/>
      <c r="CI364" s="161"/>
      <c r="CJ364" s="161"/>
      <c r="CK364" s="161"/>
      <c r="CL364" s="161"/>
      <c r="CM364" s="161"/>
      <c r="CN364" s="161"/>
      <c r="CO364" s="161"/>
      <c r="CP364" s="161"/>
      <c r="CQ364" s="161"/>
      <c r="CR364" s="161"/>
      <c r="CS364" s="161"/>
      <c r="CT364" s="161"/>
      <c r="CU364" s="161"/>
      <c r="CV364" s="161"/>
      <c r="CW364" s="161"/>
      <c r="CX364" s="161"/>
      <c r="CY364" s="161"/>
      <c r="CZ364" s="161"/>
      <c r="DA364" s="161"/>
      <c r="DB364" s="161"/>
      <c r="DC364" s="161"/>
      <c r="DD364" s="161"/>
      <c r="DE364" s="161"/>
      <c r="DF364" s="161"/>
      <c r="DG364" s="161"/>
      <c r="DH364" s="161"/>
      <c r="DI364" s="161"/>
      <c r="DJ364" s="161"/>
      <c r="DK364" s="161"/>
      <c r="DL364" s="161"/>
      <c r="DM364" s="161"/>
      <c r="DN364" s="161"/>
      <c r="DO364" s="161"/>
      <c r="DP364" s="161"/>
      <c r="DQ364" s="161"/>
      <c r="DR364" s="161"/>
      <c r="DS364" s="161"/>
      <c r="DT364" s="161"/>
      <c r="DU364" s="161"/>
      <c r="DV364" s="161"/>
      <c r="DW364" s="161"/>
      <c r="DX364" s="161"/>
      <c r="DY364" s="161"/>
      <c r="DZ364" s="161"/>
      <c r="EA364" s="161"/>
      <c r="EB364" s="174"/>
    </row>
    <row r="365" spans="67:132">
      <c r="BO365" s="161"/>
      <c r="BP365" s="161"/>
      <c r="BQ365" s="161"/>
      <c r="BR365" s="161"/>
      <c r="BS365" s="161"/>
      <c r="BT365" s="161"/>
      <c r="BU365" s="161"/>
      <c r="BV365" s="161"/>
      <c r="BW365" s="161"/>
      <c r="BX365" s="161"/>
      <c r="BY365" s="161"/>
      <c r="BZ365" s="161"/>
      <c r="CA365" s="161"/>
      <c r="CB365" s="161"/>
      <c r="CC365" s="161"/>
      <c r="CD365" s="161"/>
      <c r="CE365" s="161"/>
      <c r="CF365" s="161"/>
      <c r="CG365" s="161"/>
      <c r="CH365" s="161"/>
      <c r="CI365" s="161"/>
      <c r="CJ365" s="161"/>
      <c r="CK365" s="161"/>
      <c r="CL365" s="161"/>
      <c r="CM365" s="161"/>
      <c r="CN365" s="161"/>
      <c r="CO365" s="161"/>
      <c r="CP365" s="161"/>
      <c r="CQ365" s="161"/>
      <c r="CR365" s="161"/>
      <c r="CS365" s="161"/>
      <c r="CT365" s="161"/>
      <c r="CU365" s="161"/>
      <c r="CV365" s="161"/>
      <c r="CW365" s="161"/>
      <c r="CX365" s="161"/>
      <c r="CY365" s="161"/>
      <c r="CZ365" s="161"/>
      <c r="DA365" s="161"/>
      <c r="DB365" s="161"/>
      <c r="DC365" s="161"/>
      <c r="DD365" s="161"/>
      <c r="DE365" s="161"/>
      <c r="DF365" s="161"/>
      <c r="DG365" s="161"/>
      <c r="DH365" s="161"/>
      <c r="DI365" s="161"/>
      <c r="DJ365" s="161"/>
      <c r="DK365" s="161"/>
      <c r="DL365" s="161"/>
      <c r="DM365" s="161"/>
      <c r="DN365" s="161"/>
      <c r="DO365" s="161"/>
      <c r="DP365" s="161"/>
      <c r="DQ365" s="161"/>
      <c r="DR365" s="161"/>
      <c r="DS365" s="161"/>
      <c r="DT365" s="161"/>
      <c r="DU365" s="161"/>
      <c r="DV365" s="161"/>
      <c r="DW365" s="161"/>
      <c r="DX365" s="161"/>
      <c r="DY365" s="161"/>
      <c r="DZ365" s="161"/>
      <c r="EA365" s="161"/>
      <c r="EB365" s="174"/>
    </row>
    <row r="366" spans="67:132">
      <c r="BO366" s="161"/>
      <c r="BP366" s="161"/>
      <c r="BQ366" s="161"/>
      <c r="BR366" s="161"/>
      <c r="BS366" s="161"/>
      <c r="BT366" s="161"/>
      <c r="BU366" s="161"/>
      <c r="BV366" s="161"/>
      <c r="BW366" s="161"/>
      <c r="BX366" s="161"/>
      <c r="BY366" s="161"/>
      <c r="BZ366" s="161"/>
      <c r="CA366" s="161"/>
      <c r="CB366" s="161"/>
      <c r="CC366" s="161"/>
      <c r="CD366" s="161"/>
      <c r="CE366" s="161"/>
      <c r="CF366" s="161"/>
      <c r="CG366" s="161"/>
      <c r="CH366" s="161"/>
      <c r="CI366" s="161"/>
      <c r="CJ366" s="161"/>
      <c r="CK366" s="161"/>
      <c r="CL366" s="161"/>
      <c r="CM366" s="161"/>
      <c r="CN366" s="161"/>
      <c r="CO366" s="161"/>
      <c r="CP366" s="161"/>
      <c r="CQ366" s="161"/>
      <c r="CR366" s="161"/>
      <c r="CS366" s="161"/>
      <c r="CT366" s="161"/>
      <c r="CU366" s="161"/>
      <c r="CV366" s="161"/>
      <c r="CW366" s="161"/>
      <c r="CX366" s="161"/>
      <c r="CY366" s="161"/>
      <c r="CZ366" s="161"/>
      <c r="DA366" s="161"/>
      <c r="DB366" s="161"/>
      <c r="DC366" s="161"/>
      <c r="DD366" s="161"/>
      <c r="DE366" s="161"/>
      <c r="DF366" s="161"/>
      <c r="DG366" s="161"/>
      <c r="DH366" s="161"/>
      <c r="DI366" s="161"/>
      <c r="DJ366" s="161"/>
      <c r="DK366" s="161"/>
      <c r="DL366" s="161"/>
      <c r="DM366" s="161"/>
      <c r="DN366" s="161"/>
      <c r="DO366" s="161"/>
      <c r="DP366" s="161"/>
      <c r="DQ366" s="161"/>
      <c r="DR366" s="161"/>
      <c r="DS366" s="161"/>
      <c r="DT366" s="161"/>
      <c r="DU366" s="161"/>
      <c r="DV366" s="161"/>
      <c r="DW366" s="161"/>
      <c r="DX366" s="161"/>
      <c r="DY366" s="161"/>
      <c r="DZ366" s="161"/>
      <c r="EA366" s="161"/>
      <c r="EB366" s="174"/>
    </row>
    <row r="367" spans="67:132">
      <c r="BO367" s="161"/>
      <c r="BP367" s="161"/>
      <c r="BQ367" s="161"/>
      <c r="BR367" s="161"/>
      <c r="BS367" s="161"/>
      <c r="BT367" s="161"/>
      <c r="BU367" s="161"/>
      <c r="BV367" s="161"/>
      <c r="BW367" s="161"/>
      <c r="BX367" s="161"/>
      <c r="BY367" s="161"/>
      <c r="BZ367" s="161"/>
      <c r="CA367" s="161"/>
      <c r="CB367" s="161"/>
      <c r="CC367" s="161"/>
      <c r="CD367" s="161"/>
      <c r="CE367" s="161"/>
      <c r="CF367" s="161"/>
      <c r="CG367" s="161"/>
      <c r="CH367" s="161"/>
      <c r="CI367" s="161"/>
      <c r="CJ367" s="161"/>
      <c r="CK367" s="161"/>
      <c r="CL367" s="161"/>
      <c r="CM367" s="161"/>
      <c r="CN367" s="161"/>
      <c r="CO367" s="161"/>
      <c r="CP367" s="161"/>
      <c r="CQ367" s="161"/>
      <c r="CR367" s="161"/>
      <c r="CS367" s="161"/>
      <c r="CT367" s="161"/>
      <c r="CU367" s="161"/>
      <c r="CV367" s="161"/>
      <c r="CW367" s="161"/>
      <c r="CX367" s="161"/>
      <c r="CY367" s="161"/>
      <c r="CZ367" s="161"/>
      <c r="DA367" s="161"/>
      <c r="DB367" s="161"/>
      <c r="DC367" s="161"/>
      <c r="DD367" s="161"/>
      <c r="DE367" s="161"/>
      <c r="DF367" s="161"/>
      <c r="DG367" s="161"/>
      <c r="DH367" s="161"/>
      <c r="DI367" s="161"/>
      <c r="DJ367" s="161"/>
      <c r="DK367" s="161"/>
      <c r="DL367" s="161"/>
      <c r="DM367" s="161"/>
      <c r="DN367" s="161"/>
      <c r="DO367" s="161"/>
      <c r="DP367" s="161"/>
      <c r="DQ367" s="161"/>
      <c r="DR367" s="161"/>
      <c r="DS367" s="161"/>
      <c r="DT367" s="161"/>
      <c r="DU367" s="161"/>
      <c r="DV367" s="161"/>
      <c r="DW367" s="161"/>
      <c r="DX367" s="161"/>
      <c r="DY367" s="161"/>
      <c r="DZ367" s="161"/>
      <c r="EA367" s="161"/>
      <c r="EB367" s="174"/>
    </row>
    <row r="368" spans="67:132">
      <c r="BO368" s="161"/>
      <c r="BP368" s="161"/>
      <c r="BQ368" s="161"/>
      <c r="BR368" s="161"/>
      <c r="BS368" s="161"/>
      <c r="BT368" s="161"/>
      <c r="BU368" s="161"/>
      <c r="BV368" s="161"/>
      <c r="BW368" s="161"/>
      <c r="BX368" s="161"/>
      <c r="BY368" s="161"/>
      <c r="BZ368" s="161"/>
      <c r="CA368" s="161"/>
      <c r="CB368" s="161"/>
      <c r="CC368" s="161"/>
      <c r="CD368" s="161"/>
      <c r="CE368" s="161"/>
      <c r="CF368" s="161"/>
      <c r="CG368" s="161"/>
      <c r="CH368" s="161"/>
      <c r="CI368" s="161"/>
      <c r="CJ368" s="161"/>
      <c r="CK368" s="161"/>
      <c r="CL368" s="161"/>
      <c r="CM368" s="161"/>
      <c r="CN368" s="161"/>
      <c r="CO368" s="161"/>
      <c r="CP368" s="161"/>
      <c r="CQ368" s="161"/>
      <c r="CR368" s="161"/>
      <c r="CS368" s="161"/>
      <c r="CT368" s="161"/>
      <c r="CU368" s="161"/>
      <c r="CV368" s="161"/>
      <c r="CW368" s="161"/>
      <c r="CX368" s="161"/>
      <c r="CY368" s="161"/>
      <c r="CZ368" s="161"/>
      <c r="DA368" s="161"/>
      <c r="DB368" s="161"/>
      <c r="DC368" s="161"/>
      <c r="DD368" s="161"/>
      <c r="DE368" s="161"/>
      <c r="DF368" s="161"/>
      <c r="DG368" s="161"/>
      <c r="DH368" s="161"/>
      <c r="DI368" s="161"/>
      <c r="DJ368" s="161"/>
      <c r="DK368" s="161"/>
      <c r="DL368" s="161"/>
      <c r="DM368" s="161"/>
      <c r="DN368" s="161"/>
      <c r="DO368" s="161"/>
      <c r="DP368" s="161"/>
      <c r="DQ368" s="161"/>
      <c r="DR368" s="161"/>
      <c r="DS368" s="161"/>
      <c r="DT368" s="161"/>
      <c r="DU368" s="161"/>
      <c r="DV368" s="161"/>
      <c r="DW368" s="161"/>
      <c r="DX368" s="161"/>
      <c r="DY368" s="161"/>
      <c r="DZ368" s="161"/>
      <c r="EA368" s="161"/>
      <c r="EB368" s="174"/>
    </row>
    <row r="369" spans="67:132">
      <c r="BO369" s="161"/>
      <c r="BP369" s="161"/>
      <c r="BQ369" s="161"/>
      <c r="BR369" s="161"/>
      <c r="BS369" s="161"/>
      <c r="BT369" s="161"/>
      <c r="BU369" s="161"/>
      <c r="BV369" s="161"/>
      <c r="BW369" s="161"/>
      <c r="BX369" s="161"/>
      <c r="BY369" s="161"/>
      <c r="BZ369" s="161"/>
      <c r="CA369" s="161"/>
      <c r="CB369" s="161"/>
      <c r="CC369" s="161"/>
      <c r="CD369" s="161"/>
      <c r="CE369" s="161"/>
      <c r="CF369" s="161"/>
      <c r="CG369" s="161"/>
      <c r="CH369" s="161"/>
      <c r="CI369" s="161"/>
      <c r="CJ369" s="161"/>
      <c r="CK369" s="161"/>
      <c r="CL369" s="161"/>
      <c r="CM369" s="161"/>
      <c r="CN369" s="161"/>
      <c r="CO369" s="161"/>
      <c r="CP369" s="161"/>
      <c r="CQ369" s="161"/>
      <c r="CR369" s="161"/>
      <c r="CS369" s="161"/>
      <c r="CT369" s="161"/>
      <c r="CU369" s="161"/>
      <c r="CV369" s="161"/>
      <c r="CW369" s="161"/>
      <c r="CX369" s="161"/>
      <c r="CY369" s="161"/>
      <c r="CZ369" s="161"/>
      <c r="DA369" s="161"/>
      <c r="DB369" s="161"/>
      <c r="DC369" s="161"/>
      <c r="DD369" s="161"/>
      <c r="DE369" s="161"/>
      <c r="DF369" s="161"/>
      <c r="DG369" s="161"/>
      <c r="DH369" s="161"/>
      <c r="DI369" s="161"/>
      <c r="DJ369" s="161"/>
      <c r="DK369" s="161"/>
      <c r="DL369" s="161"/>
      <c r="DM369" s="161"/>
      <c r="DN369" s="161"/>
      <c r="DO369" s="161"/>
      <c r="DP369" s="161"/>
      <c r="DQ369" s="161"/>
      <c r="DR369" s="161"/>
      <c r="DS369" s="161"/>
      <c r="DT369" s="161"/>
      <c r="DU369" s="161"/>
      <c r="DV369" s="161"/>
      <c r="DW369" s="161"/>
      <c r="DX369" s="161"/>
      <c r="DY369" s="161"/>
      <c r="DZ369" s="161"/>
      <c r="EA369" s="161"/>
      <c r="EB369" s="174"/>
    </row>
    <row r="370" spans="67:132">
      <c r="BO370" s="161"/>
      <c r="BP370" s="161"/>
      <c r="BQ370" s="161"/>
      <c r="BR370" s="161"/>
      <c r="BS370" s="161"/>
      <c r="BT370" s="161"/>
      <c r="BU370" s="161"/>
      <c r="BV370" s="161"/>
      <c r="BW370" s="161"/>
      <c r="BX370" s="161"/>
      <c r="BY370" s="161"/>
      <c r="BZ370" s="161"/>
      <c r="CA370" s="161"/>
      <c r="CB370" s="161"/>
      <c r="CC370" s="161"/>
      <c r="CD370" s="161"/>
      <c r="CE370" s="161"/>
      <c r="CF370" s="161"/>
      <c r="CG370" s="161"/>
      <c r="CH370" s="161"/>
      <c r="CI370" s="161"/>
      <c r="CJ370" s="161"/>
      <c r="CK370" s="161"/>
      <c r="CL370" s="161"/>
      <c r="CM370" s="161"/>
      <c r="CN370" s="161"/>
      <c r="CO370" s="161"/>
      <c r="CP370" s="161"/>
      <c r="CQ370" s="161"/>
      <c r="CR370" s="161"/>
      <c r="CS370" s="161"/>
      <c r="CT370" s="161"/>
      <c r="CU370" s="161"/>
      <c r="CV370" s="161"/>
      <c r="CW370" s="161"/>
      <c r="CX370" s="161"/>
      <c r="CY370" s="161"/>
      <c r="CZ370" s="161"/>
      <c r="DA370" s="161"/>
      <c r="DB370" s="161"/>
      <c r="DC370" s="161"/>
      <c r="DD370" s="161"/>
      <c r="DE370" s="161"/>
      <c r="DF370" s="161"/>
      <c r="DG370" s="161"/>
      <c r="DH370" s="161"/>
      <c r="DI370" s="161"/>
      <c r="DJ370" s="161"/>
      <c r="DK370" s="161"/>
      <c r="DL370" s="161"/>
      <c r="DM370" s="161"/>
      <c r="DN370" s="161"/>
      <c r="DO370" s="161"/>
      <c r="DP370" s="161"/>
      <c r="DQ370" s="161"/>
      <c r="DR370" s="161"/>
      <c r="DS370" s="161"/>
      <c r="DT370" s="161"/>
      <c r="DU370" s="161"/>
      <c r="DV370" s="161"/>
      <c r="DW370" s="161"/>
      <c r="DX370" s="161"/>
      <c r="DY370" s="161"/>
      <c r="DZ370" s="161"/>
      <c r="EA370" s="161"/>
      <c r="EB370" s="174"/>
    </row>
    <row r="371" spans="67:132">
      <c r="BO371" s="161"/>
      <c r="BP371" s="161"/>
      <c r="BQ371" s="161"/>
      <c r="BR371" s="161"/>
      <c r="BS371" s="161"/>
      <c r="BT371" s="161"/>
      <c r="BU371" s="161"/>
      <c r="BV371" s="161"/>
      <c r="BW371" s="161"/>
      <c r="BX371" s="161"/>
      <c r="BY371" s="161"/>
      <c r="BZ371" s="161"/>
      <c r="CA371" s="161"/>
      <c r="CB371" s="161"/>
      <c r="CC371" s="161"/>
      <c r="CD371" s="161"/>
      <c r="CE371" s="161"/>
      <c r="CF371" s="161"/>
      <c r="CG371" s="161"/>
      <c r="CH371" s="161"/>
      <c r="CI371" s="161"/>
      <c r="CJ371" s="161"/>
      <c r="CK371" s="161"/>
      <c r="CL371" s="161"/>
      <c r="CM371" s="161"/>
      <c r="CN371" s="161"/>
      <c r="CO371" s="161"/>
      <c r="CP371" s="161"/>
      <c r="CQ371" s="161"/>
      <c r="CR371" s="161"/>
      <c r="CS371" s="161"/>
      <c r="CT371" s="161"/>
      <c r="CU371" s="161"/>
      <c r="CV371" s="161"/>
      <c r="CW371" s="161"/>
      <c r="CX371" s="161"/>
      <c r="CY371" s="161"/>
      <c r="CZ371" s="161"/>
      <c r="DA371" s="161"/>
      <c r="DB371" s="161"/>
      <c r="DC371" s="161"/>
      <c r="DD371" s="161"/>
      <c r="DE371" s="161"/>
      <c r="DF371" s="161"/>
      <c r="DG371" s="161"/>
      <c r="DH371" s="161"/>
      <c r="DI371" s="161"/>
      <c r="DJ371" s="161"/>
      <c r="DK371" s="161"/>
      <c r="DL371" s="161"/>
      <c r="DM371" s="161"/>
      <c r="DN371" s="161"/>
      <c r="DO371" s="161"/>
      <c r="DP371" s="161"/>
      <c r="DQ371" s="161"/>
      <c r="DR371" s="161"/>
      <c r="DS371" s="161"/>
      <c r="DT371" s="161"/>
      <c r="DU371" s="161"/>
      <c r="DV371" s="161"/>
      <c r="DW371" s="161"/>
      <c r="DX371" s="161"/>
      <c r="DY371" s="161"/>
      <c r="DZ371" s="161"/>
      <c r="EA371" s="161"/>
      <c r="EB371" s="174"/>
    </row>
    <row r="372" spans="67:132">
      <c r="BO372" s="161"/>
      <c r="BP372" s="161"/>
      <c r="BQ372" s="161"/>
      <c r="BR372" s="161"/>
      <c r="BS372" s="161"/>
      <c r="BT372" s="161"/>
      <c r="BU372" s="161"/>
      <c r="BV372" s="161"/>
      <c r="BW372" s="161"/>
      <c r="BX372" s="161"/>
      <c r="BY372" s="161"/>
      <c r="BZ372" s="161"/>
      <c r="CA372" s="161"/>
      <c r="CB372" s="161"/>
      <c r="CC372" s="161"/>
      <c r="CD372" s="161"/>
      <c r="CE372" s="161"/>
      <c r="CF372" s="161"/>
      <c r="CG372" s="161"/>
      <c r="CH372" s="161"/>
      <c r="CI372" s="161"/>
      <c r="CJ372" s="161"/>
      <c r="CK372" s="161"/>
      <c r="CL372" s="161"/>
      <c r="CM372" s="161"/>
      <c r="CN372" s="161"/>
      <c r="CO372" s="161"/>
      <c r="CP372" s="161"/>
      <c r="CQ372" s="161"/>
      <c r="CR372" s="161"/>
      <c r="CS372" s="161"/>
      <c r="CT372" s="161"/>
      <c r="CU372" s="161"/>
      <c r="CV372" s="161"/>
      <c r="CW372" s="161"/>
      <c r="CX372" s="161"/>
      <c r="CY372" s="161"/>
      <c r="CZ372" s="161"/>
      <c r="DA372" s="161"/>
      <c r="DB372" s="161"/>
      <c r="DC372" s="161"/>
      <c r="DD372" s="161"/>
      <c r="DE372" s="161"/>
      <c r="DF372" s="161"/>
      <c r="DG372" s="161"/>
      <c r="DH372" s="161"/>
      <c r="DI372" s="161"/>
      <c r="DJ372" s="161"/>
      <c r="DK372" s="161"/>
      <c r="DL372" s="161"/>
      <c r="DM372" s="161"/>
      <c r="DN372" s="161"/>
      <c r="DO372" s="161"/>
      <c r="DP372" s="161"/>
      <c r="DQ372" s="161"/>
      <c r="DR372" s="161"/>
      <c r="DS372" s="161"/>
      <c r="DT372" s="161"/>
      <c r="DU372" s="161"/>
      <c r="DV372" s="161"/>
      <c r="DW372" s="161"/>
      <c r="DX372" s="161"/>
      <c r="DY372" s="161"/>
      <c r="DZ372" s="161"/>
      <c r="EA372" s="161"/>
      <c r="EB372" s="174"/>
    </row>
    <row r="373" spans="67:132">
      <c r="BO373" s="161"/>
      <c r="BP373" s="161"/>
      <c r="BQ373" s="161"/>
      <c r="BR373" s="161"/>
      <c r="BS373" s="161"/>
      <c r="BT373" s="161"/>
      <c r="BU373" s="161"/>
      <c r="BV373" s="161"/>
      <c r="BW373" s="161"/>
      <c r="BX373" s="161"/>
      <c r="BY373" s="161"/>
      <c r="BZ373" s="161"/>
      <c r="CA373" s="161"/>
      <c r="CB373" s="161"/>
      <c r="CC373" s="161"/>
      <c r="CD373" s="161"/>
      <c r="CE373" s="161"/>
      <c r="CF373" s="161"/>
      <c r="CG373" s="161"/>
      <c r="CH373" s="161"/>
      <c r="CI373" s="161"/>
      <c r="CJ373" s="161"/>
      <c r="CK373" s="161"/>
      <c r="CL373" s="161"/>
      <c r="CM373" s="161"/>
      <c r="CN373" s="161"/>
      <c r="CO373" s="161"/>
      <c r="CP373" s="161"/>
      <c r="CQ373" s="161"/>
      <c r="CR373" s="161"/>
      <c r="CS373" s="161"/>
      <c r="CT373" s="161"/>
      <c r="CU373" s="161"/>
      <c r="CV373" s="161"/>
      <c r="CW373" s="161"/>
      <c r="CX373" s="161"/>
      <c r="CY373" s="161"/>
      <c r="CZ373" s="161"/>
      <c r="DA373" s="161"/>
      <c r="DB373" s="161"/>
      <c r="DC373" s="161"/>
      <c r="DD373" s="161"/>
      <c r="DE373" s="161"/>
      <c r="DF373" s="161"/>
      <c r="DG373" s="161"/>
      <c r="DH373" s="161"/>
      <c r="DI373" s="161"/>
      <c r="DJ373" s="161"/>
      <c r="DK373" s="161"/>
      <c r="DL373" s="161"/>
      <c r="DM373" s="161"/>
      <c r="DN373" s="161"/>
      <c r="DO373" s="161"/>
      <c r="DP373" s="161"/>
      <c r="DQ373" s="161"/>
      <c r="DR373" s="161"/>
      <c r="DS373" s="161"/>
      <c r="DT373" s="161"/>
      <c r="DU373" s="161"/>
      <c r="DV373" s="161"/>
      <c r="DW373" s="161"/>
      <c r="DX373" s="161"/>
      <c r="DY373" s="161"/>
      <c r="DZ373" s="161"/>
      <c r="EA373" s="161"/>
      <c r="EB373" s="174"/>
    </row>
    <row r="374" spans="67:132">
      <c r="BO374" s="161"/>
      <c r="BP374" s="161"/>
      <c r="BQ374" s="161"/>
      <c r="BR374" s="161"/>
      <c r="BS374" s="161"/>
      <c r="BT374" s="161"/>
      <c r="BU374" s="161"/>
      <c r="BV374" s="161"/>
      <c r="BW374" s="161"/>
      <c r="BX374" s="161"/>
      <c r="BY374" s="161"/>
      <c r="BZ374" s="161"/>
      <c r="CA374" s="161"/>
      <c r="CB374" s="161"/>
      <c r="CC374" s="161"/>
      <c r="CD374" s="161"/>
      <c r="CE374" s="161"/>
      <c r="CF374" s="161"/>
      <c r="CG374" s="161"/>
      <c r="CH374" s="161"/>
      <c r="CI374" s="161"/>
      <c r="CJ374" s="161"/>
      <c r="CK374" s="161"/>
      <c r="CL374" s="161"/>
      <c r="CM374" s="161"/>
      <c r="CN374" s="161"/>
      <c r="CO374" s="161"/>
      <c r="CP374" s="161"/>
      <c r="CQ374" s="161"/>
      <c r="CR374" s="161"/>
      <c r="CS374" s="161"/>
      <c r="CT374" s="161"/>
      <c r="CU374" s="161"/>
      <c r="CV374" s="161"/>
      <c r="CW374" s="161"/>
      <c r="CX374" s="161"/>
      <c r="CY374" s="161"/>
      <c r="CZ374" s="161"/>
      <c r="DA374" s="161"/>
      <c r="DB374" s="161"/>
      <c r="DC374" s="161"/>
      <c r="DD374" s="161"/>
      <c r="DE374" s="161"/>
      <c r="DF374" s="161"/>
      <c r="DG374" s="161"/>
      <c r="DH374" s="161"/>
      <c r="DI374" s="161"/>
      <c r="DJ374" s="161"/>
      <c r="DK374" s="161"/>
      <c r="DL374" s="161"/>
      <c r="DM374" s="161"/>
      <c r="DN374" s="161"/>
      <c r="DO374" s="161"/>
      <c r="DP374" s="161"/>
      <c r="DQ374" s="161"/>
      <c r="DR374" s="161"/>
      <c r="DS374" s="161"/>
      <c r="DT374" s="161"/>
      <c r="DU374" s="161"/>
      <c r="DV374" s="161"/>
      <c r="DW374" s="161"/>
      <c r="DX374" s="161"/>
      <c r="DY374" s="161"/>
      <c r="DZ374" s="161"/>
      <c r="EA374" s="161"/>
      <c r="EB374" s="174"/>
    </row>
    <row r="375" spans="67:132">
      <c r="BO375" s="161"/>
      <c r="BP375" s="161"/>
      <c r="BQ375" s="161"/>
      <c r="BR375" s="161"/>
      <c r="BS375" s="161"/>
      <c r="BT375" s="161"/>
      <c r="BU375" s="161"/>
      <c r="BV375" s="161"/>
      <c r="BW375" s="161"/>
      <c r="BX375" s="161"/>
      <c r="BY375" s="161"/>
      <c r="BZ375" s="161"/>
      <c r="CA375" s="161"/>
      <c r="CB375" s="161"/>
      <c r="CC375" s="161"/>
      <c r="CD375" s="161"/>
      <c r="CE375" s="161"/>
      <c r="CF375" s="161"/>
      <c r="CG375" s="161"/>
      <c r="CH375" s="161"/>
      <c r="CI375" s="161"/>
      <c r="CJ375" s="161"/>
      <c r="CK375" s="161"/>
      <c r="CL375" s="161"/>
      <c r="CM375" s="161"/>
      <c r="CN375" s="161"/>
      <c r="CO375" s="161"/>
      <c r="CP375" s="161"/>
      <c r="CQ375" s="161"/>
      <c r="CR375" s="161"/>
      <c r="CS375" s="161"/>
      <c r="CT375" s="161"/>
      <c r="CU375" s="161"/>
      <c r="CV375" s="161"/>
      <c r="CW375" s="161"/>
      <c r="CX375" s="161"/>
      <c r="CY375" s="161"/>
      <c r="CZ375" s="161"/>
      <c r="DA375" s="161"/>
      <c r="DB375" s="161"/>
      <c r="DC375" s="161"/>
      <c r="DD375" s="161"/>
      <c r="DE375" s="161"/>
      <c r="DF375" s="161"/>
      <c r="DG375" s="161"/>
      <c r="DH375" s="161"/>
      <c r="DI375" s="161"/>
      <c r="DJ375" s="161"/>
      <c r="DK375" s="161"/>
      <c r="DL375" s="161"/>
      <c r="DM375" s="161"/>
      <c r="DN375" s="161"/>
      <c r="DO375" s="161"/>
      <c r="DP375" s="161"/>
      <c r="DQ375" s="161"/>
      <c r="DR375" s="161"/>
      <c r="DS375" s="161"/>
      <c r="DT375" s="161"/>
      <c r="DU375" s="161"/>
      <c r="DV375" s="161"/>
      <c r="DW375" s="161"/>
      <c r="DX375" s="161"/>
      <c r="DY375" s="161"/>
      <c r="DZ375" s="161"/>
      <c r="EA375" s="161"/>
      <c r="EB375" s="174"/>
    </row>
    <row r="376" spans="67:132">
      <c r="BO376" s="161"/>
      <c r="BP376" s="161"/>
      <c r="BQ376" s="161"/>
      <c r="BR376" s="161"/>
      <c r="BS376" s="161"/>
      <c r="BT376" s="161"/>
      <c r="BU376" s="161"/>
      <c r="BV376" s="161"/>
      <c r="BW376" s="161"/>
      <c r="BX376" s="161"/>
      <c r="BY376" s="161"/>
      <c r="BZ376" s="161"/>
      <c r="CA376" s="161"/>
      <c r="CB376" s="161"/>
      <c r="CC376" s="161"/>
      <c r="CD376" s="161"/>
      <c r="CE376" s="161"/>
      <c r="CF376" s="161"/>
      <c r="CG376" s="161"/>
      <c r="CH376" s="161"/>
      <c r="CI376" s="161"/>
      <c r="CJ376" s="161"/>
      <c r="CK376" s="161"/>
      <c r="CL376" s="161"/>
      <c r="CM376" s="161"/>
      <c r="CN376" s="161"/>
      <c r="CO376" s="161"/>
      <c r="CP376" s="161"/>
      <c r="CQ376" s="161"/>
      <c r="CR376" s="161"/>
      <c r="CS376" s="161"/>
      <c r="CT376" s="161"/>
      <c r="CU376" s="161"/>
      <c r="CV376" s="161"/>
      <c r="CW376" s="161"/>
      <c r="CX376" s="161"/>
      <c r="CY376" s="161"/>
      <c r="CZ376" s="161"/>
      <c r="DA376" s="161"/>
      <c r="DB376" s="161"/>
      <c r="DC376" s="161"/>
      <c r="DD376" s="161"/>
      <c r="DE376" s="161"/>
      <c r="DF376" s="161"/>
      <c r="DG376" s="161"/>
      <c r="DH376" s="161"/>
      <c r="DI376" s="161"/>
      <c r="DJ376" s="161"/>
      <c r="DK376" s="161"/>
      <c r="DL376" s="161"/>
      <c r="DM376" s="161"/>
      <c r="DN376" s="161"/>
      <c r="DO376" s="161"/>
      <c r="DP376" s="161"/>
      <c r="DQ376" s="161"/>
      <c r="DR376" s="161"/>
      <c r="DS376" s="161"/>
      <c r="DT376" s="161"/>
      <c r="DU376" s="161"/>
      <c r="DV376" s="161"/>
      <c r="DW376" s="161"/>
      <c r="DX376" s="161"/>
      <c r="DY376" s="161"/>
      <c r="DZ376" s="161"/>
      <c r="EA376" s="161"/>
      <c r="EB376" s="174"/>
    </row>
    <row r="377" spans="67:132">
      <c r="BO377" s="161"/>
      <c r="BP377" s="161"/>
      <c r="BQ377" s="161"/>
      <c r="BR377" s="161"/>
      <c r="BS377" s="161"/>
      <c r="BT377" s="161"/>
      <c r="BU377" s="161"/>
      <c r="BV377" s="161"/>
      <c r="BW377" s="161"/>
      <c r="BX377" s="161"/>
      <c r="BY377" s="161"/>
      <c r="BZ377" s="161"/>
      <c r="CA377" s="161"/>
      <c r="CB377" s="161"/>
      <c r="CC377" s="161"/>
      <c r="CD377" s="161"/>
      <c r="CE377" s="161"/>
      <c r="CF377" s="161"/>
      <c r="CG377" s="161"/>
      <c r="CH377" s="161"/>
      <c r="CI377" s="161"/>
      <c r="CJ377" s="161"/>
      <c r="CK377" s="161"/>
      <c r="CL377" s="161"/>
      <c r="CM377" s="161"/>
      <c r="CN377" s="161"/>
      <c r="CO377" s="161"/>
      <c r="CP377" s="161"/>
      <c r="CQ377" s="161"/>
      <c r="CR377" s="161"/>
      <c r="CS377" s="161"/>
      <c r="CT377" s="161"/>
      <c r="CU377" s="161"/>
      <c r="CV377" s="161"/>
      <c r="CW377" s="161"/>
      <c r="CX377" s="161"/>
      <c r="CY377" s="161"/>
      <c r="CZ377" s="161"/>
      <c r="DA377" s="161"/>
      <c r="DB377" s="161"/>
      <c r="DC377" s="161"/>
      <c r="DD377" s="161"/>
      <c r="DE377" s="161"/>
      <c r="DF377" s="161"/>
      <c r="DG377" s="161"/>
      <c r="DH377" s="161"/>
      <c r="DI377" s="161"/>
      <c r="DJ377" s="161"/>
      <c r="DK377" s="161"/>
      <c r="DL377" s="161"/>
      <c r="DM377" s="161"/>
      <c r="DN377" s="161"/>
      <c r="DO377" s="161"/>
      <c r="DP377" s="161"/>
      <c r="DQ377" s="161"/>
      <c r="DR377" s="161"/>
      <c r="DS377" s="161"/>
      <c r="DT377" s="161"/>
      <c r="DU377" s="161"/>
      <c r="DV377" s="161"/>
      <c r="DW377" s="161"/>
      <c r="DX377" s="161"/>
      <c r="DY377" s="161"/>
      <c r="DZ377" s="161"/>
      <c r="EA377" s="161"/>
      <c r="EB377" s="174"/>
    </row>
    <row r="378" spans="67:132">
      <c r="BO378" s="161"/>
      <c r="BP378" s="161"/>
      <c r="BQ378" s="161"/>
      <c r="BR378" s="161"/>
      <c r="BS378" s="161"/>
      <c r="BT378" s="161"/>
      <c r="BU378" s="161"/>
      <c r="BV378" s="161"/>
      <c r="BW378" s="161"/>
      <c r="BX378" s="161"/>
      <c r="BY378" s="161"/>
      <c r="BZ378" s="161"/>
      <c r="CA378" s="161"/>
      <c r="CB378" s="161"/>
      <c r="CC378" s="161"/>
      <c r="CD378" s="161"/>
      <c r="CE378" s="161"/>
      <c r="CF378" s="161"/>
      <c r="CG378" s="161"/>
      <c r="CH378" s="161"/>
      <c r="CI378" s="161"/>
      <c r="CJ378" s="161"/>
      <c r="CK378" s="161"/>
      <c r="CL378" s="161"/>
      <c r="CM378" s="161"/>
      <c r="CN378" s="161"/>
      <c r="CO378" s="161"/>
      <c r="CP378" s="161"/>
      <c r="CQ378" s="161"/>
      <c r="CR378" s="161"/>
      <c r="CS378" s="161"/>
      <c r="CT378" s="161"/>
      <c r="CU378" s="161"/>
      <c r="CV378" s="161"/>
      <c r="CW378" s="161"/>
      <c r="CX378" s="161"/>
      <c r="CY378" s="161"/>
      <c r="CZ378" s="161"/>
      <c r="DA378" s="161"/>
      <c r="DB378" s="161"/>
      <c r="DC378" s="161"/>
      <c r="DD378" s="161"/>
      <c r="DE378" s="161"/>
      <c r="DF378" s="161"/>
      <c r="DG378" s="161"/>
      <c r="DH378" s="161"/>
      <c r="DI378" s="161"/>
      <c r="DJ378" s="161"/>
      <c r="DK378" s="161"/>
      <c r="DL378" s="161"/>
      <c r="DM378" s="161"/>
      <c r="DN378" s="161"/>
      <c r="DO378" s="161"/>
      <c r="DP378" s="161"/>
      <c r="DQ378" s="161"/>
      <c r="DR378" s="161"/>
      <c r="DS378" s="161"/>
      <c r="DT378" s="161"/>
      <c r="DU378" s="161"/>
      <c r="DV378" s="161"/>
      <c r="DW378" s="161"/>
      <c r="DX378" s="161"/>
      <c r="DY378" s="161"/>
      <c r="DZ378" s="161"/>
      <c r="EA378" s="161"/>
      <c r="EB378" s="174"/>
    </row>
    <row r="379" spans="67:132">
      <c r="BO379" s="161"/>
      <c r="BP379" s="161"/>
      <c r="BQ379" s="161"/>
      <c r="BR379" s="161"/>
      <c r="BS379" s="161"/>
      <c r="BT379" s="161"/>
      <c r="BU379" s="161"/>
      <c r="BV379" s="161"/>
      <c r="BW379" s="161"/>
      <c r="BX379" s="161"/>
      <c r="BY379" s="161"/>
      <c r="BZ379" s="161"/>
      <c r="CA379" s="161"/>
      <c r="CB379" s="161"/>
      <c r="CC379" s="161"/>
      <c r="CD379" s="161"/>
      <c r="CE379" s="161"/>
      <c r="CF379" s="161"/>
      <c r="CG379" s="161"/>
      <c r="CH379" s="161"/>
      <c r="CI379" s="161"/>
      <c r="CJ379" s="161"/>
      <c r="CK379" s="161"/>
      <c r="CL379" s="161"/>
      <c r="CM379" s="161"/>
      <c r="CN379" s="161"/>
      <c r="CO379" s="161"/>
      <c r="CP379" s="161"/>
      <c r="CQ379" s="161"/>
      <c r="CR379" s="161"/>
      <c r="CS379" s="161"/>
      <c r="CT379" s="161"/>
      <c r="CU379" s="161"/>
      <c r="CV379" s="161"/>
      <c r="CW379" s="161"/>
      <c r="CX379" s="161"/>
      <c r="CY379" s="161"/>
      <c r="CZ379" s="161"/>
      <c r="DA379" s="161"/>
      <c r="DB379" s="161"/>
      <c r="DC379" s="161"/>
      <c r="DD379" s="161"/>
      <c r="DE379" s="161"/>
      <c r="DF379" s="161"/>
      <c r="DG379" s="161"/>
      <c r="DH379" s="161"/>
      <c r="DI379" s="161"/>
      <c r="DJ379" s="161"/>
      <c r="DK379" s="161"/>
      <c r="DL379" s="161"/>
      <c r="DM379" s="161"/>
      <c r="DN379" s="161"/>
      <c r="DO379" s="161"/>
      <c r="DP379" s="161"/>
      <c r="DQ379" s="161"/>
      <c r="DR379" s="161"/>
      <c r="DS379" s="161"/>
      <c r="DT379" s="161"/>
      <c r="DU379" s="161"/>
      <c r="DV379" s="161"/>
      <c r="DW379" s="161"/>
      <c r="DX379" s="161"/>
      <c r="DY379" s="161"/>
      <c r="DZ379" s="161"/>
      <c r="EA379" s="161"/>
      <c r="EB379" s="174"/>
    </row>
    <row r="380" spans="67:132">
      <c r="BO380" s="161"/>
      <c r="BP380" s="161"/>
      <c r="BQ380" s="161"/>
      <c r="BR380" s="161"/>
      <c r="BS380" s="161"/>
      <c r="BT380" s="161"/>
      <c r="BU380" s="161"/>
      <c r="BV380" s="161"/>
      <c r="BW380" s="161"/>
      <c r="BX380" s="161"/>
      <c r="BY380" s="161"/>
      <c r="BZ380" s="161"/>
      <c r="CA380" s="161"/>
      <c r="CB380" s="161"/>
      <c r="CC380" s="161"/>
      <c r="CD380" s="161"/>
      <c r="CE380" s="161"/>
      <c r="CF380" s="161"/>
      <c r="CG380" s="161"/>
      <c r="CH380" s="161"/>
      <c r="CI380" s="161"/>
      <c r="CJ380" s="161"/>
      <c r="CK380" s="161"/>
      <c r="CL380" s="161"/>
      <c r="CM380" s="161"/>
      <c r="CN380" s="161"/>
      <c r="CO380" s="161"/>
      <c r="CP380" s="161"/>
      <c r="CQ380" s="161"/>
      <c r="CR380" s="161"/>
      <c r="CS380" s="161"/>
      <c r="CT380" s="161"/>
      <c r="CU380" s="161"/>
      <c r="CV380" s="161"/>
      <c r="CW380" s="161"/>
      <c r="CX380" s="161"/>
      <c r="CY380" s="161"/>
      <c r="CZ380" s="161"/>
      <c r="DA380" s="161"/>
      <c r="DB380" s="161"/>
      <c r="DC380" s="161"/>
      <c r="DD380" s="161"/>
      <c r="DE380" s="161"/>
      <c r="DF380" s="161"/>
      <c r="DG380" s="161"/>
      <c r="DH380" s="161"/>
      <c r="DI380" s="161"/>
      <c r="DJ380" s="161"/>
      <c r="DK380" s="161"/>
      <c r="DL380" s="161"/>
      <c r="DM380" s="161"/>
      <c r="DN380" s="161"/>
      <c r="DO380" s="161"/>
      <c r="DP380" s="161"/>
      <c r="DQ380" s="161"/>
      <c r="DR380" s="161"/>
      <c r="DS380" s="161"/>
      <c r="DT380" s="161"/>
      <c r="DU380" s="161"/>
      <c r="DV380" s="161"/>
      <c r="DW380" s="161"/>
      <c r="DX380" s="161"/>
      <c r="DY380" s="161"/>
      <c r="DZ380" s="161"/>
      <c r="EA380" s="161"/>
      <c r="EB380" s="174"/>
    </row>
    <row r="381" spans="67:132">
      <c r="BO381" s="161"/>
      <c r="BP381" s="161"/>
      <c r="BQ381" s="161"/>
      <c r="BR381" s="161"/>
      <c r="BS381" s="161"/>
      <c r="BT381" s="161"/>
      <c r="BU381" s="161"/>
      <c r="BV381" s="161"/>
      <c r="BW381" s="161"/>
      <c r="BX381" s="161"/>
      <c r="BY381" s="161"/>
      <c r="BZ381" s="161"/>
      <c r="CA381" s="161"/>
      <c r="CB381" s="161"/>
      <c r="CC381" s="161"/>
      <c r="CD381" s="161"/>
      <c r="CE381" s="161"/>
      <c r="CF381" s="161"/>
      <c r="CG381" s="161"/>
      <c r="CH381" s="161"/>
      <c r="CI381" s="161"/>
      <c r="CJ381" s="161"/>
      <c r="CK381" s="161"/>
      <c r="CL381" s="161"/>
      <c r="CM381" s="161"/>
      <c r="CN381" s="161"/>
      <c r="CO381" s="161"/>
      <c r="CP381" s="161"/>
      <c r="CQ381" s="161"/>
      <c r="CR381" s="161"/>
      <c r="CS381" s="161"/>
      <c r="CT381" s="161"/>
      <c r="CU381" s="161"/>
      <c r="CV381" s="161"/>
      <c r="CW381" s="161"/>
      <c r="CX381" s="161"/>
      <c r="CY381" s="161"/>
      <c r="CZ381" s="161"/>
      <c r="DA381" s="161"/>
      <c r="DB381" s="161"/>
      <c r="DC381" s="161"/>
      <c r="DD381" s="161"/>
      <c r="DE381" s="161"/>
      <c r="DF381" s="161"/>
      <c r="DG381" s="161"/>
      <c r="DH381" s="161"/>
      <c r="DI381" s="161"/>
      <c r="DJ381" s="161"/>
      <c r="DK381" s="161"/>
      <c r="DL381" s="161"/>
      <c r="DM381" s="161"/>
      <c r="DN381" s="161"/>
      <c r="DO381" s="161"/>
      <c r="DP381" s="161"/>
      <c r="DQ381" s="161"/>
      <c r="DR381" s="161"/>
      <c r="DS381" s="161"/>
      <c r="DT381" s="161"/>
      <c r="DU381" s="161"/>
      <c r="DV381" s="161"/>
      <c r="DW381" s="161"/>
      <c r="DX381" s="161"/>
      <c r="DY381" s="161"/>
      <c r="DZ381" s="161"/>
      <c r="EA381" s="161"/>
      <c r="EB381" s="174"/>
    </row>
    <row r="382" spans="67:132">
      <c r="BO382" s="161"/>
      <c r="BP382" s="161"/>
      <c r="BQ382" s="161"/>
      <c r="BR382" s="161"/>
      <c r="BS382" s="161"/>
      <c r="BT382" s="161"/>
      <c r="BU382" s="161"/>
      <c r="BV382" s="161"/>
      <c r="BW382" s="161"/>
      <c r="BX382" s="161"/>
      <c r="BY382" s="161"/>
      <c r="BZ382" s="161"/>
      <c r="CA382" s="161"/>
      <c r="CB382" s="161"/>
      <c r="CC382" s="161"/>
      <c r="CD382" s="161"/>
      <c r="CE382" s="161"/>
      <c r="CF382" s="161"/>
      <c r="CG382" s="161"/>
      <c r="CH382" s="161"/>
      <c r="CI382" s="161"/>
      <c r="CJ382" s="161"/>
      <c r="CK382" s="161"/>
      <c r="CL382" s="161"/>
      <c r="CM382" s="161"/>
      <c r="CN382" s="161"/>
      <c r="CO382" s="161"/>
      <c r="CP382" s="161"/>
      <c r="CQ382" s="161"/>
      <c r="CR382" s="161"/>
      <c r="CS382" s="161"/>
      <c r="CT382" s="161"/>
      <c r="CU382" s="161"/>
      <c r="CV382" s="161"/>
      <c r="CW382" s="161"/>
      <c r="CX382" s="161"/>
      <c r="CY382" s="161"/>
      <c r="CZ382" s="161"/>
      <c r="DA382" s="161"/>
      <c r="DB382" s="161"/>
      <c r="DC382" s="161"/>
      <c r="DD382" s="161"/>
      <c r="DE382" s="161"/>
      <c r="DF382" s="161"/>
      <c r="DG382" s="161"/>
      <c r="DH382" s="161"/>
      <c r="DI382" s="161"/>
      <c r="DJ382" s="161"/>
      <c r="DK382" s="161"/>
      <c r="DL382" s="161"/>
      <c r="DM382" s="161"/>
      <c r="DN382" s="161"/>
      <c r="DO382" s="161"/>
      <c r="DP382" s="161"/>
      <c r="DQ382" s="161"/>
      <c r="DR382" s="161"/>
      <c r="DS382" s="161"/>
      <c r="DT382" s="161"/>
      <c r="DU382" s="161"/>
      <c r="DV382" s="161"/>
      <c r="DW382" s="161"/>
      <c r="DX382" s="161"/>
      <c r="DY382" s="161"/>
      <c r="DZ382" s="161"/>
      <c r="EA382" s="161"/>
      <c r="EB382" s="174"/>
    </row>
    <row r="383" spans="67:132">
      <c r="BO383" s="161"/>
      <c r="BP383" s="161"/>
      <c r="BQ383" s="161"/>
      <c r="BR383" s="161"/>
      <c r="BS383" s="161"/>
      <c r="BT383" s="161"/>
      <c r="BU383" s="161"/>
      <c r="BV383" s="161"/>
      <c r="BW383" s="161"/>
      <c r="BX383" s="161"/>
      <c r="BY383" s="161"/>
      <c r="BZ383" s="161"/>
      <c r="CA383" s="161"/>
      <c r="CB383" s="161"/>
      <c r="CC383" s="161"/>
      <c r="CD383" s="161"/>
      <c r="CE383" s="161"/>
      <c r="CF383" s="161"/>
      <c r="CG383" s="161"/>
      <c r="CH383" s="161"/>
      <c r="CI383" s="161"/>
      <c r="CJ383" s="161"/>
      <c r="CK383" s="161"/>
      <c r="CL383" s="161"/>
      <c r="CM383" s="161"/>
      <c r="CN383" s="161"/>
      <c r="CO383" s="161"/>
      <c r="CP383" s="161"/>
      <c r="CQ383" s="161"/>
      <c r="CR383" s="161"/>
      <c r="CS383" s="161"/>
      <c r="CT383" s="161"/>
      <c r="CU383" s="161"/>
      <c r="CV383" s="161"/>
      <c r="CW383" s="161"/>
      <c r="CX383" s="161"/>
      <c r="CY383" s="161"/>
      <c r="CZ383" s="161"/>
      <c r="DA383" s="161"/>
      <c r="DB383" s="161"/>
      <c r="DC383" s="161"/>
      <c r="DD383" s="161"/>
      <c r="DE383" s="161"/>
      <c r="DF383" s="161"/>
      <c r="DG383" s="161"/>
      <c r="DH383" s="161"/>
      <c r="DI383" s="161"/>
      <c r="DJ383" s="161"/>
      <c r="DK383" s="161"/>
      <c r="DL383" s="161"/>
      <c r="DM383" s="161"/>
      <c r="DN383" s="161"/>
      <c r="DO383" s="161"/>
      <c r="DP383" s="161"/>
      <c r="DQ383" s="161"/>
      <c r="DR383" s="161"/>
      <c r="DS383" s="161"/>
      <c r="DT383" s="161"/>
      <c r="DU383" s="161"/>
      <c r="DV383" s="161"/>
      <c r="DW383" s="161"/>
      <c r="DX383" s="161"/>
      <c r="DY383" s="161"/>
      <c r="DZ383" s="161"/>
      <c r="EA383" s="161"/>
      <c r="EB383" s="174"/>
    </row>
    <row r="384" spans="67:132">
      <c r="BO384" s="161"/>
      <c r="BP384" s="161"/>
      <c r="BQ384" s="161"/>
      <c r="BR384" s="161"/>
      <c r="BS384" s="161"/>
      <c r="BT384" s="161"/>
      <c r="BU384" s="161"/>
      <c r="BV384" s="161"/>
      <c r="BW384" s="161"/>
      <c r="BX384" s="161"/>
      <c r="BY384" s="161"/>
      <c r="BZ384" s="161"/>
      <c r="CA384" s="161"/>
      <c r="CB384" s="161"/>
      <c r="CC384" s="161"/>
      <c r="CD384" s="161"/>
      <c r="CE384" s="161"/>
      <c r="CF384" s="161"/>
      <c r="CG384" s="161"/>
      <c r="CH384" s="161"/>
      <c r="CI384" s="161"/>
      <c r="CJ384" s="161"/>
      <c r="CK384" s="161"/>
      <c r="CL384" s="161"/>
      <c r="CM384" s="161"/>
      <c r="CN384" s="161"/>
      <c r="CO384" s="161"/>
      <c r="CP384" s="161"/>
      <c r="CQ384" s="161"/>
      <c r="CR384" s="161"/>
      <c r="CS384" s="161"/>
      <c r="CT384" s="161"/>
      <c r="CU384" s="161"/>
      <c r="CV384" s="161"/>
      <c r="CW384" s="161"/>
      <c r="CX384" s="161"/>
      <c r="CY384" s="161"/>
      <c r="CZ384" s="161"/>
      <c r="DA384" s="161"/>
      <c r="DB384" s="161"/>
      <c r="DC384" s="161"/>
      <c r="DD384" s="161"/>
      <c r="DE384" s="161"/>
      <c r="DF384" s="161"/>
      <c r="DG384" s="161"/>
      <c r="DH384" s="161"/>
      <c r="DI384" s="161"/>
      <c r="DJ384" s="161"/>
      <c r="DK384" s="161"/>
      <c r="DL384" s="161"/>
      <c r="DM384" s="161"/>
      <c r="DN384" s="161"/>
      <c r="DO384" s="161"/>
      <c r="DP384" s="161"/>
      <c r="DQ384" s="161"/>
      <c r="DR384" s="161"/>
      <c r="DS384" s="161"/>
      <c r="DT384" s="161"/>
      <c r="DU384" s="161"/>
      <c r="DV384" s="161"/>
      <c r="DW384" s="161"/>
      <c r="DX384" s="161"/>
      <c r="DY384" s="161"/>
      <c r="DZ384" s="161"/>
      <c r="EA384" s="161"/>
      <c r="EB384" s="174"/>
    </row>
    <row r="385" spans="67:132">
      <c r="BO385" s="161"/>
      <c r="BP385" s="161"/>
      <c r="BQ385" s="161"/>
      <c r="BR385" s="161"/>
      <c r="BS385" s="161"/>
      <c r="BT385" s="161"/>
      <c r="BU385" s="161"/>
      <c r="BV385" s="161"/>
      <c r="BW385" s="161"/>
      <c r="BX385" s="161"/>
      <c r="BY385" s="161"/>
      <c r="BZ385" s="161"/>
      <c r="CA385" s="161"/>
      <c r="CB385" s="161"/>
      <c r="CC385" s="161"/>
      <c r="CD385" s="161"/>
      <c r="CE385" s="161"/>
      <c r="CF385" s="161"/>
      <c r="CG385" s="161"/>
      <c r="CH385" s="161"/>
      <c r="CI385" s="161"/>
      <c r="CJ385" s="161"/>
      <c r="CK385" s="161"/>
      <c r="CL385" s="161"/>
      <c r="CM385" s="161"/>
      <c r="CN385" s="161"/>
      <c r="CO385" s="161"/>
      <c r="CP385" s="161"/>
      <c r="CQ385" s="161"/>
      <c r="CR385" s="161"/>
      <c r="CS385" s="161"/>
      <c r="CT385" s="161"/>
      <c r="CU385" s="161"/>
      <c r="CV385" s="161"/>
      <c r="CW385" s="161"/>
      <c r="CX385" s="161"/>
      <c r="CY385" s="161"/>
      <c r="CZ385" s="161"/>
      <c r="DA385" s="161"/>
      <c r="DB385" s="161"/>
      <c r="DC385" s="161"/>
      <c r="DD385" s="161"/>
      <c r="DE385" s="161"/>
      <c r="DF385" s="161"/>
      <c r="DG385" s="161"/>
      <c r="DH385" s="161"/>
      <c r="DI385" s="161"/>
      <c r="DJ385" s="161"/>
      <c r="DK385" s="161"/>
      <c r="DL385" s="161"/>
      <c r="DM385" s="161"/>
      <c r="DN385" s="161"/>
      <c r="DO385" s="161"/>
      <c r="DP385" s="161"/>
      <c r="DQ385" s="161"/>
      <c r="DR385" s="161"/>
      <c r="DS385" s="161"/>
      <c r="DT385" s="161"/>
      <c r="DU385" s="161"/>
      <c r="DV385" s="161"/>
      <c r="DW385" s="161"/>
      <c r="DX385" s="161"/>
      <c r="DY385" s="161"/>
      <c r="DZ385" s="161"/>
      <c r="EA385" s="161"/>
      <c r="EB385" s="174"/>
    </row>
    <row r="386" spans="67:132">
      <c r="BO386" s="161"/>
      <c r="BP386" s="161"/>
      <c r="BQ386" s="161"/>
      <c r="BR386" s="161"/>
      <c r="BS386" s="161"/>
      <c r="BT386" s="161"/>
      <c r="BU386" s="161"/>
      <c r="BV386" s="161"/>
      <c r="BW386" s="161"/>
      <c r="BX386" s="161"/>
      <c r="BY386" s="161"/>
      <c r="BZ386" s="161"/>
      <c r="CA386" s="161"/>
      <c r="CB386" s="161"/>
      <c r="CC386" s="161"/>
      <c r="CD386" s="161"/>
      <c r="CE386" s="161"/>
      <c r="CF386" s="161"/>
      <c r="CG386" s="161"/>
      <c r="CH386" s="161"/>
      <c r="CI386" s="161"/>
      <c r="CJ386" s="161"/>
      <c r="CK386" s="161"/>
      <c r="CL386" s="161"/>
      <c r="CM386" s="161"/>
      <c r="CN386" s="161"/>
      <c r="CO386" s="161"/>
      <c r="CP386" s="161"/>
      <c r="CQ386" s="161"/>
      <c r="CR386" s="161"/>
      <c r="CS386" s="161"/>
      <c r="CT386" s="161"/>
      <c r="CU386" s="161"/>
      <c r="CV386" s="161"/>
      <c r="CW386" s="161"/>
      <c r="CX386" s="161"/>
      <c r="CY386" s="161"/>
      <c r="CZ386" s="161"/>
      <c r="DA386" s="161"/>
      <c r="DB386" s="161"/>
      <c r="DC386" s="161"/>
      <c r="DD386" s="161"/>
      <c r="DE386" s="161"/>
      <c r="DF386" s="161"/>
      <c r="DG386" s="161"/>
      <c r="DH386" s="161"/>
      <c r="DI386" s="161"/>
      <c r="DJ386" s="161"/>
      <c r="DK386" s="161"/>
      <c r="DL386" s="161"/>
      <c r="DM386" s="161"/>
      <c r="DN386" s="161"/>
      <c r="DO386" s="161"/>
      <c r="DP386" s="161"/>
      <c r="DQ386" s="161"/>
      <c r="DR386" s="161"/>
      <c r="DS386" s="161"/>
      <c r="DT386" s="161"/>
      <c r="DU386" s="161"/>
      <c r="DV386" s="161"/>
      <c r="DW386" s="161"/>
      <c r="DX386" s="161"/>
      <c r="DY386" s="161"/>
      <c r="DZ386" s="161"/>
      <c r="EA386" s="161"/>
      <c r="EB386" s="174"/>
    </row>
    <row r="387" spans="67:132">
      <c r="BO387" s="161"/>
      <c r="BP387" s="161"/>
      <c r="BQ387" s="161"/>
      <c r="BR387" s="161"/>
      <c r="BS387" s="161"/>
      <c r="BT387" s="161"/>
      <c r="BU387" s="161"/>
      <c r="BV387" s="161"/>
      <c r="BW387" s="161"/>
      <c r="BX387" s="161"/>
      <c r="BY387" s="161"/>
      <c r="BZ387" s="161"/>
      <c r="CA387" s="161"/>
      <c r="CB387" s="161"/>
      <c r="CC387" s="161"/>
      <c r="CD387" s="161"/>
      <c r="CE387" s="161"/>
      <c r="CF387" s="161"/>
      <c r="CG387" s="161"/>
      <c r="CH387" s="161"/>
      <c r="CI387" s="161"/>
      <c r="CJ387" s="161"/>
      <c r="CK387" s="161"/>
      <c r="CL387" s="161"/>
      <c r="CM387" s="161"/>
      <c r="CN387" s="161"/>
      <c r="CO387" s="161"/>
      <c r="CP387" s="161"/>
      <c r="CQ387" s="161"/>
      <c r="CR387" s="161"/>
      <c r="CS387" s="161"/>
      <c r="CT387" s="161"/>
      <c r="CU387" s="161"/>
      <c r="CV387" s="161"/>
      <c r="CW387" s="161"/>
      <c r="CX387" s="161"/>
      <c r="CY387" s="161"/>
      <c r="CZ387" s="161"/>
      <c r="DA387" s="161"/>
      <c r="DB387" s="161"/>
      <c r="DC387" s="161"/>
      <c r="DD387" s="161"/>
      <c r="DE387" s="161"/>
      <c r="DF387" s="161"/>
      <c r="DG387" s="161"/>
      <c r="DH387" s="161"/>
      <c r="DI387" s="161"/>
      <c r="DJ387" s="161"/>
      <c r="DK387" s="161"/>
      <c r="DL387" s="161"/>
      <c r="DM387" s="161"/>
      <c r="DN387" s="161"/>
      <c r="DO387" s="161"/>
      <c r="DP387" s="161"/>
      <c r="DQ387" s="161"/>
      <c r="DR387" s="161"/>
      <c r="DS387" s="161"/>
      <c r="DT387" s="161"/>
      <c r="DU387" s="161"/>
      <c r="DV387" s="161"/>
      <c r="DW387" s="161"/>
      <c r="DX387" s="161"/>
      <c r="DY387" s="161"/>
      <c r="DZ387" s="161"/>
      <c r="EA387" s="161"/>
      <c r="EB387" s="174"/>
    </row>
    <row r="388" spans="67:132">
      <c r="BO388" s="161"/>
      <c r="BP388" s="161"/>
      <c r="BQ388" s="161"/>
      <c r="BR388" s="161"/>
      <c r="BS388" s="161"/>
      <c r="BT388" s="161"/>
      <c r="BU388" s="161"/>
      <c r="BV388" s="161"/>
      <c r="BW388" s="161"/>
      <c r="BX388" s="161"/>
      <c r="BY388" s="161"/>
      <c r="BZ388" s="161"/>
      <c r="CA388" s="161"/>
      <c r="CB388" s="161"/>
      <c r="CC388" s="161"/>
      <c r="CD388" s="161"/>
      <c r="CE388" s="161"/>
      <c r="CF388" s="161"/>
      <c r="CG388" s="161"/>
      <c r="CH388" s="161"/>
      <c r="CI388" s="161"/>
      <c r="CJ388" s="161"/>
      <c r="CK388" s="161"/>
      <c r="CL388" s="161"/>
      <c r="CM388" s="161"/>
      <c r="CN388" s="161"/>
      <c r="CO388" s="161"/>
      <c r="CP388" s="161"/>
      <c r="CQ388" s="161"/>
      <c r="CR388" s="161"/>
      <c r="CS388" s="161"/>
      <c r="CT388" s="161"/>
      <c r="CU388" s="161"/>
      <c r="CV388" s="161"/>
      <c r="CW388" s="161"/>
      <c r="CX388" s="161"/>
      <c r="CY388" s="161"/>
      <c r="CZ388" s="161"/>
      <c r="DA388" s="161"/>
      <c r="DB388" s="161"/>
      <c r="DC388" s="161"/>
      <c r="DD388" s="161"/>
      <c r="DE388" s="161"/>
      <c r="DF388" s="161"/>
      <c r="DG388" s="161"/>
      <c r="DH388" s="161"/>
      <c r="DI388" s="161"/>
      <c r="DJ388" s="161"/>
      <c r="DK388" s="161"/>
      <c r="DL388" s="161"/>
      <c r="DM388" s="161"/>
      <c r="DN388" s="161"/>
      <c r="DO388" s="161"/>
      <c r="DP388" s="161"/>
      <c r="DQ388" s="161"/>
      <c r="DR388" s="161"/>
      <c r="DS388" s="161"/>
      <c r="DT388" s="161"/>
      <c r="DU388" s="161"/>
      <c r="DV388" s="161"/>
      <c r="DW388" s="161"/>
      <c r="DX388" s="161"/>
      <c r="DY388" s="161"/>
      <c r="DZ388" s="161"/>
      <c r="EA388" s="161"/>
      <c r="EB388" s="174"/>
    </row>
    <row r="389" spans="67:132">
      <c r="BO389" s="161"/>
      <c r="BP389" s="161"/>
      <c r="BQ389" s="161"/>
      <c r="BR389" s="161"/>
      <c r="BS389" s="161"/>
      <c r="BT389" s="161"/>
      <c r="BU389" s="161"/>
      <c r="BV389" s="161"/>
      <c r="BW389" s="161"/>
      <c r="BX389" s="161"/>
      <c r="BY389" s="161"/>
      <c r="BZ389" s="161"/>
      <c r="CA389" s="161"/>
      <c r="CB389" s="161"/>
      <c r="CC389" s="161"/>
      <c r="CD389" s="161"/>
      <c r="CE389" s="161"/>
      <c r="CF389" s="161"/>
      <c r="CG389" s="161"/>
      <c r="CH389" s="161"/>
      <c r="CI389" s="161"/>
      <c r="CJ389" s="161"/>
      <c r="CK389" s="161"/>
      <c r="CL389" s="161"/>
      <c r="CM389" s="161"/>
      <c r="CN389" s="161"/>
      <c r="CO389" s="161"/>
      <c r="CP389" s="161"/>
      <c r="CQ389" s="161"/>
      <c r="CR389" s="161"/>
      <c r="CS389" s="161"/>
      <c r="CT389" s="161"/>
      <c r="CU389" s="161"/>
      <c r="CV389" s="161"/>
      <c r="CW389" s="161"/>
      <c r="CX389" s="161"/>
      <c r="CY389" s="161"/>
      <c r="CZ389" s="161"/>
      <c r="DA389" s="161"/>
      <c r="DB389" s="161"/>
      <c r="DC389" s="161"/>
      <c r="DD389" s="161"/>
      <c r="DE389" s="161"/>
      <c r="DF389" s="161"/>
      <c r="DG389" s="161"/>
      <c r="DH389" s="161"/>
      <c r="DI389" s="161"/>
      <c r="DJ389" s="161"/>
      <c r="DK389" s="161"/>
      <c r="DL389" s="161"/>
      <c r="DM389" s="161"/>
      <c r="DN389" s="161"/>
      <c r="DO389" s="161"/>
      <c r="DP389" s="161"/>
      <c r="DQ389" s="161"/>
      <c r="DR389" s="161"/>
      <c r="DS389" s="161"/>
      <c r="DT389" s="161"/>
      <c r="DU389" s="161"/>
      <c r="DV389" s="161"/>
      <c r="DW389" s="161"/>
      <c r="DX389" s="161"/>
      <c r="DY389" s="161"/>
      <c r="DZ389" s="161"/>
      <c r="EA389" s="161"/>
      <c r="EB389" s="174"/>
    </row>
    <row r="390" spans="67:132">
      <c r="BO390" s="161"/>
      <c r="BP390" s="161"/>
      <c r="BQ390" s="161"/>
      <c r="BR390" s="161"/>
      <c r="BS390" s="161"/>
      <c r="BT390" s="161"/>
      <c r="BU390" s="161"/>
      <c r="BV390" s="161"/>
      <c r="BW390" s="161"/>
      <c r="BX390" s="161"/>
      <c r="BY390" s="161"/>
      <c r="BZ390" s="161"/>
      <c r="CA390" s="161"/>
      <c r="CB390" s="161"/>
      <c r="CC390" s="161"/>
      <c r="CD390" s="161"/>
      <c r="CE390" s="161"/>
      <c r="CF390" s="161"/>
      <c r="CG390" s="161"/>
      <c r="CH390" s="161"/>
      <c r="CI390" s="161"/>
      <c r="CJ390" s="161"/>
      <c r="CK390" s="161"/>
      <c r="CL390" s="161"/>
      <c r="CM390" s="161"/>
      <c r="CN390" s="161"/>
      <c r="CO390" s="161"/>
      <c r="CP390" s="161"/>
      <c r="CQ390" s="161"/>
      <c r="CR390" s="161"/>
      <c r="CS390" s="161"/>
      <c r="CT390" s="161"/>
      <c r="CU390" s="161"/>
      <c r="CV390" s="161"/>
      <c r="CW390" s="161"/>
      <c r="CX390" s="161"/>
      <c r="CY390" s="161"/>
      <c r="CZ390" s="161"/>
      <c r="DA390" s="161"/>
      <c r="DB390" s="161"/>
      <c r="DC390" s="161"/>
      <c r="DD390" s="161"/>
      <c r="DE390" s="161"/>
      <c r="DF390" s="161"/>
      <c r="DG390" s="161"/>
      <c r="DH390" s="161"/>
      <c r="DI390" s="161"/>
      <c r="DJ390" s="161"/>
      <c r="DK390" s="161"/>
      <c r="DL390" s="161"/>
      <c r="DM390" s="161"/>
      <c r="DN390" s="161"/>
      <c r="DO390" s="161"/>
      <c r="DP390" s="161"/>
      <c r="DQ390" s="161"/>
      <c r="DR390" s="161"/>
      <c r="DS390" s="161"/>
      <c r="DT390" s="161"/>
      <c r="DU390" s="161"/>
      <c r="DV390" s="161"/>
      <c r="DW390" s="161"/>
      <c r="DX390" s="161"/>
      <c r="DY390" s="161"/>
      <c r="DZ390" s="161"/>
      <c r="EA390" s="161"/>
      <c r="EB390" s="174"/>
    </row>
    <row r="391" spans="67:132">
      <c r="BO391" s="161"/>
      <c r="BP391" s="161"/>
      <c r="BQ391" s="161"/>
      <c r="BR391" s="161"/>
      <c r="BS391" s="161"/>
      <c r="BT391" s="161"/>
      <c r="BU391" s="161"/>
      <c r="BV391" s="161"/>
      <c r="BW391" s="161"/>
      <c r="BX391" s="161"/>
      <c r="BY391" s="161"/>
      <c r="BZ391" s="161"/>
      <c r="CA391" s="161"/>
      <c r="CB391" s="161"/>
      <c r="CC391" s="161"/>
      <c r="CD391" s="161"/>
      <c r="CE391" s="161"/>
      <c r="CF391" s="161"/>
      <c r="CG391" s="161"/>
      <c r="CH391" s="161"/>
      <c r="CI391" s="161"/>
      <c r="CJ391" s="161"/>
      <c r="CK391" s="161"/>
      <c r="CL391" s="161"/>
      <c r="CM391" s="161"/>
      <c r="CN391" s="161"/>
      <c r="CO391" s="161"/>
      <c r="CP391" s="161"/>
      <c r="CQ391" s="161"/>
      <c r="CR391" s="161"/>
      <c r="CS391" s="161"/>
      <c r="CT391" s="161"/>
      <c r="CU391" s="161"/>
      <c r="CV391" s="161"/>
      <c r="CW391" s="161"/>
      <c r="CX391" s="161"/>
      <c r="CY391" s="161"/>
      <c r="CZ391" s="161"/>
      <c r="DA391" s="161"/>
      <c r="DB391" s="161"/>
      <c r="DC391" s="161"/>
      <c r="DD391" s="161"/>
      <c r="DE391" s="161"/>
      <c r="DF391" s="161"/>
      <c r="DG391" s="161"/>
      <c r="DH391" s="161"/>
      <c r="DI391" s="161"/>
      <c r="DJ391" s="161"/>
      <c r="DK391" s="161"/>
      <c r="DL391" s="161"/>
      <c r="DM391" s="161"/>
      <c r="DN391" s="161"/>
      <c r="DO391" s="161"/>
      <c r="DP391" s="161"/>
      <c r="DQ391" s="161"/>
      <c r="DR391" s="161"/>
      <c r="DS391" s="161"/>
      <c r="DT391" s="161"/>
      <c r="DU391" s="161"/>
      <c r="DV391" s="161"/>
      <c r="DW391" s="161"/>
      <c r="DX391" s="161"/>
      <c r="DY391" s="161"/>
      <c r="DZ391" s="161"/>
      <c r="EA391" s="161"/>
      <c r="EB391" s="174"/>
    </row>
    <row r="392" spans="67:132">
      <c r="BO392" s="161"/>
      <c r="BP392" s="161"/>
      <c r="BQ392" s="161"/>
      <c r="BR392" s="161"/>
      <c r="BS392" s="161"/>
      <c r="BT392" s="161"/>
      <c r="BU392" s="161"/>
      <c r="BV392" s="161"/>
      <c r="BW392" s="161"/>
      <c r="BX392" s="161"/>
      <c r="BY392" s="161"/>
      <c r="BZ392" s="161"/>
      <c r="CA392" s="161"/>
      <c r="CB392" s="161"/>
      <c r="CC392" s="161"/>
      <c r="CD392" s="161"/>
      <c r="CE392" s="161"/>
      <c r="CF392" s="161"/>
      <c r="CG392" s="161"/>
      <c r="CH392" s="161"/>
      <c r="CI392" s="161"/>
      <c r="CJ392" s="161"/>
      <c r="CK392" s="161"/>
      <c r="CL392" s="161"/>
      <c r="CM392" s="161"/>
      <c r="CN392" s="161"/>
      <c r="CO392" s="161"/>
      <c r="CP392" s="161"/>
      <c r="CQ392" s="161"/>
      <c r="CR392" s="161"/>
      <c r="CS392" s="161"/>
      <c r="CT392" s="161"/>
      <c r="CU392" s="161"/>
      <c r="CV392" s="161"/>
      <c r="CW392" s="161"/>
      <c r="CX392" s="161"/>
      <c r="CY392" s="161"/>
      <c r="CZ392" s="161"/>
      <c r="DA392" s="161"/>
      <c r="DB392" s="161"/>
      <c r="DC392" s="161"/>
      <c r="DD392" s="161"/>
      <c r="DE392" s="161"/>
      <c r="DF392" s="161"/>
      <c r="DG392" s="161"/>
      <c r="DH392" s="161"/>
      <c r="DI392" s="161"/>
      <c r="DJ392" s="161"/>
      <c r="DK392" s="161"/>
      <c r="DL392" s="161"/>
      <c r="DM392" s="161"/>
      <c r="DN392" s="161"/>
      <c r="DO392" s="161"/>
      <c r="DP392" s="161"/>
      <c r="DQ392" s="161"/>
      <c r="DR392" s="161"/>
      <c r="DS392" s="161"/>
      <c r="DT392" s="161"/>
      <c r="DU392" s="161"/>
      <c r="DV392" s="161"/>
      <c r="DW392" s="161"/>
      <c r="DX392" s="161"/>
      <c r="DY392" s="161"/>
      <c r="DZ392" s="161"/>
      <c r="EA392" s="161"/>
      <c r="EB392" s="174"/>
    </row>
    <row r="393" spans="67:132">
      <c r="BO393" s="161"/>
      <c r="BP393" s="161"/>
      <c r="BQ393" s="161"/>
      <c r="BR393" s="161"/>
      <c r="BS393" s="161"/>
      <c r="BT393" s="161"/>
      <c r="BU393" s="161"/>
      <c r="BV393" s="161"/>
      <c r="BW393" s="161"/>
      <c r="BX393" s="161"/>
      <c r="BY393" s="161"/>
      <c r="BZ393" s="161"/>
      <c r="CA393" s="161"/>
      <c r="CB393" s="161"/>
      <c r="CC393" s="161"/>
      <c r="CD393" s="161"/>
      <c r="CE393" s="161"/>
      <c r="CF393" s="161"/>
      <c r="CG393" s="161"/>
      <c r="CH393" s="161"/>
      <c r="CI393" s="161"/>
      <c r="CJ393" s="161"/>
      <c r="CK393" s="161"/>
      <c r="CL393" s="161"/>
      <c r="CM393" s="161"/>
      <c r="CN393" s="161"/>
      <c r="CO393" s="161"/>
      <c r="CP393" s="161"/>
      <c r="CQ393" s="161"/>
      <c r="CR393" s="161"/>
      <c r="CS393" s="161"/>
      <c r="CT393" s="161"/>
      <c r="CU393" s="161"/>
      <c r="CV393" s="161"/>
      <c r="CW393" s="161"/>
      <c r="CX393" s="161"/>
      <c r="CY393" s="161"/>
      <c r="CZ393" s="161"/>
      <c r="DA393" s="161"/>
      <c r="DB393" s="161"/>
      <c r="DC393" s="161"/>
      <c r="DD393" s="161"/>
      <c r="DE393" s="161"/>
      <c r="DF393" s="161"/>
      <c r="DG393" s="161"/>
      <c r="DH393" s="161"/>
      <c r="DI393" s="161"/>
      <c r="DJ393" s="161"/>
      <c r="DK393" s="161"/>
      <c r="DL393" s="161"/>
      <c r="DM393" s="161"/>
      <c r="DN393" s="161"/>
      <c r="DO393" s="161"/>
      <c r="DP393" s="161"/>
      <c r="DQ393" s="161"/>
      <c r="DR393" s="161"/>
      <c r="DS393" s="161"/>
      <c r="DT393" s="161"/>
      <c r="DU393" s="161"/>
      <c r="DV393" s="161"/>
      <c r="DW393" s="161"/>
      <c r="DX393" s="161"/>
      <c r="DY393" s="161"/>
      <c r="DZ393" s="161"/>
      <c r="EA393" s="161"/>
      <c r="EB393" s="174"/>
    </row>
    <row r="394" spans="67:132">
      <c r="BO394" s="161"/>
      <c r="BP394" s="161"/>
      <c r="BQ394" s="161"/>
      <c r="BR394" s="161"/>
      <c r="BS394" s="161"/>
      <c r="BT394" s="161"/>
      <c r="BU394" s="161"/>
      <c r="BV394" s="161"/>
      <c r="BW394" s="161"/>
      <c r="BX394" s="161"/>
      <c r="BY394" s="161"/>
      <c r="BZ394" s="161"/>
      <c r="CA394" s="161"/>
      <c r="CB394" s="161"/>
      <c r="CC394" s="161"/>
      <c r="CD394" s="161"/>
      <c r="CE394" s="161"/>
      <c r="CF394" s="161"/>
      <c r="CG394" s="161"/>
      <c r="CH394" s="161"/>
      <c r="CI394" s="161"/>
      <c r="CJ394" s="161"/>
      <c r="CK394" s="161"/>
      <c r="CL394" s="161"/>
      <c r="CM394" s="161"/>
      <c r="CN394" s="161"/>
      <c r="CO394" s="161"/>
      <c r="CP394" s="161"/>
      <c r="CQ394" s="161"/>
      <c r="CR394" s="161"/>
      <c r="CS394" s="161"/>
      <c r="CT394" s="161"/>
      <c r="CU394" s="161"/>
      <c r="CV394" s="161"/>
      <c r="CW394" s="161"/>
      <c r="CX394" s="161"/>
      <c r="CY394" s="161"/>
      <c r="CZ394" s="161"/>
      <c r="DA394" s="161"/>
      <c r="DB394" s="161"/>
      <c r="DC394" s="161"/>
      <c r="DD394" s="161"/>
      <c r="DE394" s="161"/>
      <c r="DF394" s="161"/>
      <c r="DG394" s="161"/>
      <c r="DH394" s="161"/>
      <c r="DI394" s="161"/>
      <c r="DJ394" s="161"/>
      <c r="DK394" s="161"/>
      <c r="DL394" s="161"/>
      <c r="DM394" s="161"/>
      <c r="DN394" s="161"/>
      <c r="DO394" s="161"/>
      <c r="DP394" s="161"/>
      <c r="DQ394" s="161"/>
      <c r="DR394" s="161"/>
      <c r="DS394" s="161"/>
      <c r="DT394" s="161"/>
      <c r="DU394" s="161"/>
      <c r="DV394" s="161"/>
      <c r="DW394" s="161"/>
      <c r="DX394" s="161"/>
      <c r="DY394" s="161"/>
      <c r="DZ394" s="161"/>
      <c r="EA394" s="161"/>
      <c r="EB394" s="174"/>
    </row>
    <row r="395" spans="67:132">
      <c r="BO395" s="161"/>
      <c r="BP395" s="161"/>
      <c r="BQ395" s="161"/>
      <c r="BR395" s="161"/>
      <c r="BS395" s="161"/>
      <c r="BT395" s="161"/>
      <c r="BU395" s="161"/>
      <c r="BV395" s="161"/>
      <c r="BW395" s="161"/>
      <c r="BX395" s="161"/>
      <c r="BY395" s="161"/>
      <c r="BZ395" s="161"/>
      <c r="CA395" s="161"/>
      <c r="CB395" s="161"/>
      <c r="CC395" s="161"/>
      <c r="CD395" s="161"/>
      <c r="CE395" s="161"/>
      <c r="CF395" s="161"/>
      <c r="CG395" s="161"/>
      <c r="CH395" s="161"/>
      <c r="CI395" s="161"/>
      <c r="CJ395" s="161"/>
      <c r="CK395" s="161"/>
      <c r="CL395" s="161"/>
      <c r="CM395" s="161"/>
      <c r="CN395" s="161"/>
      <c r="CO395" s="161"/>
      <c r="CP395" s="161"/>
      <c r="CQ395" s="161"/>
      <c r="CR395" s="161"/>
      <c r="CS395" s="161"/>
      <c r="CT395" s="161"/>
      <c r="CU395" s="161"/>
      <c r="CV395" s="161"/>
      <c r="CW395" s="161"/>
      <c r="CX395" s="161"/>
      <c r="CY395" s="161"/>
      <c r="CZ395" s="161"/>
      <c r="DA395" s="161"/>
      <c r="DB395" s="161"/>
      <c r="DC395" s="161"/>
      <c r="DD395" s="161"/>
      <c r="DE395" s="161"/>
      <c r="DF395" s="161"/>
      <c r="DG395" s="161"/>
      <c r="DH395" s="161"/>
      <c r="DI395" s="161"/>
      <c r="DJ395" s="161"/>
      <c r="DK395" s="161"/>
      <c r="DL395" s="161"/>
      <c r="DM395" s="161"/>
      <c r="DN395" s="161"/>
      <c r="DO395" s="161"/>
      <c r="DP395" s="161"/>
      <c r="DQ395" s="161"/>
      <c r="DR395" s="161"/>
      <c r="DS395" s="161"/>
      <c r="DT395" s="161"/>
      <c r="DU395" s="161"/>
      <c r="DV395" s="161"/>
      <c r="DW395" s="161"/>
      <c r="DX395" s="161"/>
      <c r="DY395" s="161"/>
      <c r="DZ395" s="161"/>
      <c r="EA395" s="161"/>
      <c r="EB395" s="174"/>
    </row>
    <row r="396" spans="67:132">
      <c r="BO396" s="161"/>
      <c r="BP396" s="161"/>
      <c r="BQ396" s="161"/>
      <c r="BR396" s="161"/>
      <c r="BS396" s="161"/>
      <c r="BT396" s="161"/>
      <c r="BU396" s="161"/>
      <c r="BV396" s="161"/>
      <c r="BW396" s="161"/>
      <c r="BX396" s="161"/>
      <c r="BY396" s="161"/>
      <c r="BZ396" s="161"/>
      <c r="CA396" s="161"/>
      <c r="CB396" s="161"/>
      <c r="CC396" s="161"/>
      <c r="CD396" s="161"/>
      <c r="CE396" s="161"/>
      <c r="CF396" s="161"/>
      <c r="CG396" s="161"/>
      <c r="CH396" s="161"/>
      <c r="CI396" s="161"/>
      <c r="CJ396" s="161"/>
      <c r="CK396" s="161"/>
      <c r="CL396" s="161"/>
      <c r="CM396" s="161"/>
      <c r="CN396" s="161"/>
      <c r="CO396" s="161"/>
      <c r="CP396" s="161"/>
      <c r="CQ396" s="161"/>
      <c r="CR396" s="161"/>
      <c r="CS396" s="161"/>
      <c r="CT396" s="161"/>
      <c r="CU396" s="161"/>
      <c r="CV396" s="161"/>
      <c r="CW396" s="161"/>
      <c r="CX396" s="161"/>
      <c r="CY396" s="161"/>
      <c r="CZ396" s="161"/>
      <c r="DA396" s="161"/>
      <c r="DB396" s="161"/>
      <c r="DC396" s="161"/>
      <c r="DD396" s="161"/>
      <c r="DE396" s="161"/>
      <c r="DF396" s="161"/>
      <c r="DG396" s="161"/>
      <c r="DH396" s="161"/>
      <c r="DI396" s="161"/>
      <c r="DJ396" s="161"/>
      <c r="DK396" s="161"/>
      <c r="DL396" s="161"/>
      <c r="DM396" s="161"/>
      <c r="DN396" s="161"/>
      <c r="DO396" s="161"/>
      <c r="DP396" s="161"/>
      <c r="DQ396" s="161"/>
      <c r="DR396" s="161"/>
      <c r="DS396" s="161"/>
      <c r="DT396" s="161"/>
      <c r="DU396" s="161"/>
      <c r="DV396" s="161"/>
      <c r="DW396" s="161"/>
      <c r="DX396" s="161"/>
      <c r="DY396" s="161"/>
      <c r="DZ396" s="161"/>
      <c r="EA396" s="161"/>
      <c r="EB396" s="174"/>
    </row>
    <row r="397" spans="67:132">
      <c r="BO397" s="161"/>
      <c r="BP397" s="161"/>
      <c r="BQ397" s="161"/>
      <c r="BR397" s="161"/>
      <c r="BS397" s="161"/>
      <c r="BT397" s="161"/>
      <c r="BU397" s="161"/>
      <c r="BV397" s="161"/>
      <c r="BW397" s="161"/>
      <c r="BX397" s="161"/>
      <c r="BY397" s="161"/>
      <c r="BZ397" s="161"/>
      <c r="CA397" s="161"/>
      <c r="CB397" s="161"/>
      <c r="CC397" s="161"/>
      <c r="CD397" s="161"/>
      <c r="CE397" s="161"/>
      <c r="CF397" s="161"/>
      <c r="CG397" s="161"/>
      <c r="CH397" s="161"/>
      <c r="CI397" s="161"/>
      <c r="CJ397" s="161"/>
      <c r="CK397" s="161"/>
      <c r="CL397" s="161"/>
      <c r="CM397" s="161"/>
      <c r="CN397" s="161"/>
      <c r="CO397" s="161"/>
      <c r="CP397" s="161"/>
      <c r="CQ397" s="161"/>
      <c r="CR397" s="161"/>
      <c r="CS397" s="161"/>
      <c r="CT397" s="161"/>
      <c r="CU397" s="161"/>
      <c r="CV397" s="161"/>
      <c r="CW397" s="161"/>
      <c r="CX397" s="161"/>
      <c r="CY397" s="161"/>
      <c r="CZ397" s="161"/>
      <c r="DA397" s="161"/>
      <c r="DB397" s="161"/>
      <c r="DC397" s="161"/>
      <c r="DD397" s="161"/>
      <c r="DE397" s="161"/>
      <c r="DF397" s="161"/>
      <c r="DG397" s="161"/>
      <c r="DH397" s="161"/>
      <c r="DI397" s="161"/>
      <c r="DJ397" s="161"/>
      <c r="DK397" s="161"/>
      <c r="DL397" s="161"/>
      <c r="DM397" s="161"/>
      <c r="DN397" s="161"/>
      <c r="DO397" s="161"/>
      <c r="DP397" s="161"/>
      <c r="DQ397" s="161"/>
      <c r="DR397" s="161"/>
      <c r="DS397" s="161"/>
      <c r="DT397" s="161"/>
      <c r="DU397" s="161"/>
      <c r="DV397" s="161"/>
      <c r="DW397" s="161"/>
      <c r="DX397" s="161"/>
      <c r="DY397" s="161"/>
      <c r="DZ397" s="161"/>
      <c r="EA397" s="161"/>
      <c r="EB397" s="174"/>
    </row>
    <row r="398" spans="67:132">
      <c r="BO398" s="161"/>
      <c r="BP398" s="161"/>
      <c r="BQ398" s="161"/>
      <c r="BR398" s="161"/>
      <c r="BS398" s="161"/>
      <c r="BT398" s="161"/>
      <c r="BU398" s="161"/>
      <c r="BV398" s="161"/>
      <c r="BW398" s="161"/>
      <c r="BX398" s="161"/>
      <c r="BY398" s="161"/>
      <c r="BZ398" s="161"/>
      <c r="CA398" s="161"/>
      <c r="CB398" s="161"/>
      <c r="CC398" s="161"/>
      <c r="CD398" s="161"/>
      <c r="CE398" s="161"/>
      <c r="CF398" s="161"/>
      <c r="CG398" s="161"/>
      <c r="CH398" s="161"/>
      <c r="CI398" s="161"/>
      <c r="CJ398" s="161"/>
      <c r="CK398" s="161"/>
      <c r="CL398" s="161"/>
      <c r="CM398" s="161"/>
      <c r="CN398" s="161"/>
      <c r="CO398" s="161"/>
      <c r="CP398" s="161"/>
      <c r="CQ398" s="161"/>
      <c r="CR398" s="161"/>
      <c r="CS398" s="161"/>
      <c r="CT398" s="161"/>
      <c r="CU398" s="161"/>
      <c r="CV398" s="161"/>
      <c r="CW398" s="161"/>
      <c r="CX398" s="161"/>
      <c r="CY398" s="161"/>
      <c r="CZ398" s="161"/>
      <c r="DA398" s="161"/>
      <c r="DB398" s="161"/>
      <c r="DC398" s="161"/>
      <c r="DD398" s="161"/>
      <c r="DE398" s="161"/>
      <c r="DF398" s="161"/>
      <c r="DG398" s="161"/>
      <c r="DH398" s="161"/>
      <c r="DI398" s="161"/>
      <c r="DJ398" s="161"/>
      <c r="DK398" s="161"/>
      <c r="DL398" s="161"/>
      <c r="DM398" s="161"/>
      <c r="DN398" s="161"/>
      <c r="DO398" s="161"/>
      <c r="DP398" s="161"/>
      <c r="DQ398" s="161"/>
      <c r="DR398" s="161"/>
      <c r="DS398" s="161"/>
      <c r="DT398" s="161"/>
      <c r="DU398" s="161"/>
      <c r="DV398" s="161"/>
      <c r="DW398" s="161"/>
      <c r="DX398" s="161"/>
      <c r="DY398" s="161"/>
      <c r="DZ398" s="161"/>
      <c r="EA398" s="161"/>
      <c r="EB398" s="174"/>
    </row>
    <row r="399" spans="67:132">
      <c r="BO399" s="161"/>
      <c r="BP399" s="161"/>
      <c r="BQ399" s="161"/>
      <c r="BR399" s="161"/>
      <c r="BS399" s="161"/>
      <c r="BT399" s="161"/>
      <c r="BU399" s="161"/>
      <c r="BV399" s="161"/>
      <c r="BW399" s="161"/>
      <c r="BX399" s="161"/>
      <c r="BY399" s="161"/>
      <c r="BZ399" s="161"/>
      <c r="CA399" s="161"/>
      <c r="CB399" s="161"/>
      <c r="CC399" s="161"/>
      <c r="CD399" s="161"/>
      <c r="CE399" s="161"/>
      <c r="CF399" s="161"/>
      <c r="CG399" s="161"/>
      <c r="CH399" s="161"/>
      <c r="CI399" s="161"/>
      <c r="CJ399" s="161"/>
      <c r="CK399" s="161"/>
      <c r="CL399" s="161"/>
      <c r="CM399" s="161"/>
      <c r="CN399" s="161"/>
      <c r="CO399" s="161"/>
      <c r="CP399" s="161"/>
      <c r="CQ399" s="161"/>
      <c r="CR399" s="161"/>
      <c r="CS399" s="161"/>
      <c r="CT399" s="161"/>
      <c r="CU399" s="161"/>
      <c r="CV399" s="161"/>
      <c r="CW399" s="161"/>
      <c r="CX399" s="161"/>
      <c r="CY399" s="161"/>
      <c r="CZ399" s="161"/>
      <c r="DA399" s="161"/>
      <c r="DB399" s="161"/>
      <c r="DC399" s="161"/>
      <c r="DD399" s="161"/>
      <c r="DE399" s="161"/>
      <c r="DF399" s="161"/>
      <c r="DG399" s="161"/>
      <c r="DH399" s="161"/>
      <c r="DI399" s="161"/>
      <c r="DJ399" s="161"/>
      <c r="DK399" s="161"/>
      <c r="DL399" s="161"/>
      <c r="DM399" s="161"/>
      <c r="DN399" s="161"/>
      <c r="DO399" s="161"/>
      <c r="DP399" s="161"/>
      <c r="DQ399" s="161"/>
      <c r="DR399" s="161"/>
      <c r="DS399" s="161"/>
      <c r="DT399" s="161"/>
      <c r="DU399" s="161"/>
      <c r="DV399" s="161"/>
      <c r="DW399" s="161"/>
      <c r="DX399" s="161"/>
      <c r="DY399" s="161"/>
      <c r="DZ399" s="161"/>
      <c r="EA399" s="161"/>
      <c r="EB399" s="174"/>
    </row>
    <row r="400" spans="67:132">
      <c r="BO400" s="161"/>
      <c r="BP400" s="161"/>
      <c r="BQ400" s="161"/>
      <c r="BR400" s="161"/>
      <c r="BS400" s="161"/>
      <c r="BT400" s="161"/>
      <c r="BU400" s="161"/>
      <c r="BV400" s="161"/>
      <c r="BW400" s="161"/>
      <c r="BX400" s="161"/>
      <c r="BY400" s="161"/>
      <c r="BZ400" s="161"/>
      <c r="CA400" s="161"/>
      <c r="CB400" s="161"/>
      <c r="CC400" s="161"/>
      <c r="CD400" s="161"/>
      <c r="CE400" s="161"/>
      <c r="CF400" s="161"/>
      <c r="CG400" s="161"/>
      <c r="CH400" s="161"/>
      <c r="CI400" s="161"/>
      <c r="CJ400" s="161"/>
      <c r="CK400" s="161"/>
      <c r="CL400" s="161"/>
      <c r="CM400" s="161"/>
      <c r="CN400" s="161"/>
      <c r="CO400" s="161"/>
      <c r="CP400" s="161"/>
      <c r="CQ400" s="161"/>
      <c r="CR400" s="161"/>
      <c r="CS400" s="161"/>
      <c r="CT400" s="161"/>
      <c r="CU400" s="161"/>
      <c r="CV400" s="161"/>
      <c r="CW400" s="161"/>
      <c r="CX400" s="161"/>
      <c r="CY400" s="161"/>
      <c r="CZ400" s="161"/>
      <c r="DA400" s="161"/>
      <c r="DB400" s="161"/>
      <c r="DC400" s="161"/>
      <c r="DD400" s="161"/>
      <c r="DE400" s="161"/>
      <c r="DF400" s="161"/>
      <c r="DG400" s="161"/>
      <c r="DH400" s="161"/>
      <c r="DI400" s="161"/>
      <c r="DJ400" s="161"/>
      <c r="DK400" s="161"/>
      <c r="DL400" s="161"/>
      <c r="DM400" s="161"/>
      <c r="DN400" s="161"/>
      <c r="DO400" s="161"/>
      <c r="DP400" s="161"/>
      <c r="DQ400" s="161"/>
      <c r="DR400" s="161"/>
      <c r="DS400" s="161"/>
      <c r="DT400" s="161"/>
      <c r="DU400" s="161"/>
      <c r="DV400" s="161"/>
      <c r="DW400" s="161"/>
      <c r="DX400" s="161"/>
      <c r="DY400" s="161"/>
      <c r="DZ400" s="161"/>
      <c r="EA400" s="161"/>
      <c r="EB400" s="174"/>
    </row>
    <row r="401" spans="67:132">
      <c r="BO401" s="161"/>
      <c r="BP401" s="161"/>
      <c r="BQ401" s="161"/>
      <c r="BR401" s="161"/>
      <c r="BS401" s="161"/>
      <c r="BT401" s="161"/>
      <c r="BU401" s="161"/>
      <c r="BV401" s="161"/>
      <c r="BW401" s="161"/>
      <c r="BX401" s="161"/>
      <c r="BY401" s="161"/>
      <c r="BZ401" s="161"/>
      <c r="CA401" s="161"/>
      <c r="CB401" s="161"/>
      <c r="CC401" s="161"/>
      <c r="CD401" s="161"/>
      <c r="CE401" s="161"/>
      <c r="CF401" s="161"/>
      <c r="CG401" s="161"/>
      <c r="CH401" s="161"/>
      <c r="CI401" s="161"/>
      <c r="CJ401" s="161"/>
      <c r="CK401" s="161"/>
      <c r="CL401" s="161"/>
      <c r="CM401" s="161"/>
      <c r="CN401" s="161"/>
      <c r="CO401" s="161"/>
      <c r="CP401" s="161"/>
      <c r="CQ401" s="161"/>
      <c r="CR401" s="161"/>
      <c r="CS401" s="161"/>
      <c r="CT401" s="161"/>
      <c r="CU401" s="161"/>
      <c r="CV401" s="161"/>
      <c r="CW401" s="161"/>
      <c r="CX401" s="161"/>
      <c r="CY401" s="161"/>
      <c r="CZ401" s="161"/>
      <c r="DA401" s="161"/>
      <c r="DB401" s="161"/>
      <c r="DC401" s="161"/>
      <c r="DD401" s="161"/>
      <c r="DE401" s="161"/>
      <c r="DF401" s="161"/>
      <c r="DG401" s="161"/>
      <c r="DH401" s="161"/>
      <c r="DI401" s="161"/>
      <c r="DJ401" s="161"/>
      <c r="DK401" s="161"/>
      <c r="DL401" s="161"/>
      <c r="DM401" s="161"/>
      <c r="DN401" s="161"/>
      <c r="DO401" s="161"/>
      <c r="DP401" s="161"/>
      <c r="DQ401" s="161"/>
      <c r="DR401" s="161"/>
      <c r="DS401" s="161"/>
      <c r="DT401" s="161"/>
      <c r="DU401" s="161"/>
      <c r="DV401" s="161"/>
      <c r="DW401" s="161"/>
      <c r="DX401" s="161"/>
      <c r="DY401" s="161"/>
      <c r="DZ401" s="161"/>
      <c r="EA401" s="161"/>
      <c r="EB401" s="174"/>
    </row>
    <row r="402" spans="67:132">
      <c r="BO402" s="161"/>
      <c r="BP402" s="161"/>
      <c r="BQ402" s="161"/>
      <c r="BR402" s="161"/>
      <c r="BS402" s="161"/>
      <c r="BT402" s="161"/>
      <c r="BU402" s="161"/>
      <c r="BV402" s="161"/>
      <c r="BW402" s="161"/>
      <c r="BX402" s="161"/>
      <c r="BY402" s="161"/>
      <c r="BZ402" s="161"/>
      <c r="CA402" s="161"/>
      <c r="CB402" s="161"/>
      <c r="CC402" s="161"/>
      <c r="CD402" s="161"/>
      <c r="CE402" s="161"/>
      <c r="CF402" s="161"/>
      <c r="CG402" s="161"/>
      <c r="CH402" s="161"/>
      <c r="CI402" s="161"/>
      <c r="CJ402" s="161"/>
      <c r="CK402" s="161"/>
      <c r="CL402" s="161"/>
      <c r="CM402" s="161"/>
      <c r="CN402" s="161"/>
      <c r="CO402" s="161"/>
      <c r="CP402" s="161"/>
      <c r="CQ402" s="161"/>
      <c r="CR402" s="161"/>
      <c r="CS402" s="161"/>
      <c r="CT402" s="161"/>
      <c r="CU402" s="161"/>
      <c r="CV402" s="161"/>
      <c r="CW402" s="161"/>
      <c r="CX402" s="161"/>
      <c r="CY402" s="161"/>
      <c r="CZ402" s="161"/>
      <c r="DA402" s="161"/>
      <c r="DB402" s="161"/>
      <c r="DC402" s="161"/>
      <c r="DD402" s="161"/>
      <c r="DE402" s="161"/>
      <c r="DF402" s="161"/>
      <c r="DG402" s="161"/>
      <c r="DH402" s="161"/>
      <c r="DI402" s="161"/>
      <c r="DJ402" s="161"/>
      <c r="DK402" s="161"/>
      <c r="DL402" s="161"/>
      <c r="DM402" s="161"/>
      <c r="DN402" s="161"/>
      <c r="DO402" s="161"/>
      <c r="DP402" s="161"/>
      <c r="DQ402" s="161"/>
      <c r="DR402" s="161"/>
      <c r="DS402" s="161"/>
      <c r="DT402" s="161"/>
      <c r="DU402" s="161"/>
      <c r="DV402" s="161"/>
      <c r="DW402" s="161"/>
      <c r="DX402" s="161"/>
      <c r="DY402" s="161"/>
      <c r="DZ402" s="161"/>
      <c r="EA402" s="161"/>
      <c r="EB402" s="174"/>
    </row>
    <row r="403" spans="67:132">
      <c r="BO403" s="161"/>
      <c r="BP403" s="161"/>
      <c r="BQ403" s="161"/>
      <c r="BR403" s="161"/>
      <c r="BS403" s="161"/>
      <c r="BT403" s="161"/>
      <c r="BU403" s="161"/>
      <c r="BV403" s="161"/>
      <c r="BW403" s="161"/>
      <c r="BX403" s="161"/>
      <c r="BY403" s="161"/>
      <c r="BZ403" s="161"/>
      <c r="CA403" s="161"/>
      <c r="CB403" s="161"/>
      <c r="CC403" s="161"/>
      <c r="CD403" s="161"/>
      <c r="CE403" s="161"/>
      <c r="CF403" s="161"/>
      <c r="CG403" s="161"/>
      <c r="CH403" s="161"/>
      <c r="CI403" s="161"/>
      <c r="CJ403" s="161"/>
      <c r="CK403" s="161"/>
      <c r="CL403" s="161"/>
      <c r="CM403" s="161"/>
      <c r="CN403" s="161"/>
      <c r="CO403" s="161"/>
      <c r="CP403" s="161"/>
      <c r="CQ403" s="161"/>
      <c r="CR403" s="161"/>
      <c r="CS403" s="161"/>
      <c r="CT403" s="161"/>
      <c r="CU403" s="161"/>
      <c r="CV403" s="161"/>
      <c r="CW403" s="161"/>
      <c r="CX403" s="161"/>
      <c r="CY403" s="161"/>
      <c r="CZ403" s="161"/>
      <c r="DA403" s="161"/>
      <c r="DB403" s="161"/>
      <c r="DC403" s="161"/>
      <c r="DD403" s="161"/>
      <c r="DE403" s="161"/>
      <c r="DF403" s="161"/>
      <c r="DG403" s="161"/>
      <c r="DH403" s="161"/>
      <c r="DI403" s="161"/>
      <c r="DJ403" s="161"/>
      <c r="DK403" s="161"/>
      <c r="DL403" s="161"/>
      <c r="DM403" s="161"/>
      <c r="DN403" s="161"/>
      <c r="DO403" s="161"/>
      <c r="DP403" s="161"/>
      <c r="DQ403" s="161"/>
      <c r="DR403" s="161"/>
      <c r="DS403" s="161"/>
      <c r="DT403" s="161"/>
      <c r="DU403" s="161"/>
      <c r="DV403" s="161"/>
      <c r="DW403" s="161"/>
      <c r="DX403" s="161"/>
      <c r="DY403" s="161"/>
      <c r="DZ403" s="161"/>
      <c r="EA403" s="161"/>
      <c r="EB403" s="174"/>
    </row>
    <row r="404" spans="67:132">
      <c r="BO404" s="161"/>
      <c r="BP404" s="161"/>
      <c r="BQ404" s="161"/>
      <c r="BR404" s="161"/>
      <c r="BS404" s="161"/>
      <c r="BT404" s="161"/>
      <c r="BU404" s="161"/>
      <c r="BV404" s="161"/>
      <c r="BW404" s="161"/>
      <c r="BX404" s="161"/>
      <c r="BY404" s="161"/>
      <c r="BZ404" s="161"/>
      <c r="CA404" s="161"/>
      <c r="CB404" s="161"/>
      <c r="CC404" s="161"/>
      <c r="CD404" s="161"/>
      <c r="CE404" s="161"/>
      <c r="CF404" s="161"/>
      <c r="CG404" s="161"/>
      <c r="CH404" s="161"/>
      <c r="CI404" s="161"/>
      <c r="CJ404" s="161"/>
      <c r="CK404" s="161"/>
      <c r="CL404" s="161"/>
      <c r="CM404" s="161"/>
      <c r="CN404" s="161"/>
      <c r="CO404" s="161"/>
      <c r="CP404" s="161"/>
      <c r="CQ404" s="161"/>
      <c r="CR404" s="161"/>
      <c r="CS404" s="161"/>
      <c r="CT404" s="161"/>
      <c r="CU404" s="161"/>
      <c r="CV404" s="161"/>
      <c r="CW404" s="161"/>
      <c r="CX404" s="161"/>
      <c r="CY404" s="161"/>
      <c r="CZ404" s="161"/>
      <c r="DA404" s="161"/>
      <c r="DB404" s="161"/>
      <c r="DC404" s="161"/>
      <c r="DD404" s="161"/>
      <c r="DE404" s="161"/>
      <c r="DF404" s="161"/>
      <c r="DG404" s="161"/>
      <c r="DH404" s="161"/>
      <c r="DI404" s="161"/>
      <c r="DJ404" s="161"/>
      <c r="DK404" s="161"/>
      <c r="DL404" s="161"/>
      <c r="DM404" s="161"/>
      <c r="DN404" s="161"/>
      <c r="DO404" s="161"/>
      <c r="DP404" s="161"/>
      <c r="DQ404" s="161"/>
      <c r="DR404" s="161"/>
      <c r="DS404" s="161"/>
      <c r="DT404" s="161"/>
      <c r="DU404" s="161"/>
      <c r="DV404" s="161"/>
      <c r="DW404" s="161"/>
      <c r="DX404" s="161"/>
      <c r="DY404" s="161"/>
      <c r="DZ404" s="161"/>
      <c r="EA404" s="161"/>
      <c r="EB404" s="174"/>
    </row>
    <row r="405" spans="67:132">
      <c r="BO405" s="161"/>
      <c r="BP405" s="161"/>
      <c r="BQ405" s="161"/>
      <c r="BR405" s="161"/>
      <c r="BS405" s="161"/>
      <c r="BT405" s="161"/>
      <c r="BU405" s="161"/>
      <c r="BV405" s="161"/>
      <c r="BW405" s="161"/>
      <c r="BX405" s="161"/>
      <c r="BY405" s="161"/>
      <c r="BZ405" s="161"/>
      <c r="CA405" s="161"/>
      <c r="CB405" s="161"/>
      <c r="CC405" s="161"/>
      <c r="CD405" s="161"/>
      <c r="CE405" s="161"/>
      <c r="CF405" s="161"/>
      <c r="CG405" s="161"/>
      <c r="CH405" s="161"/>
      <c r="CI405" s="161"/>
      <c r="CJ405" s="161"/>
      <c r="CK405" s="161"/>
      <c r="CL405" s="161"/>
      <c r="CM405" s="161"/>
      <c r="CN405" s="161"/>
      <c r="CO405" s="161"/>
      <c r="CP405" s="161"/>
      <c r="CQ405" s="161"/>
      <c r="CR405" s="161"/>
      <c r="CS405" s="161"/>
      <c r="CT405" s="161"/>
      <c r="CU405" s="161"/>
      <c r="CV405" s="161"/>
      <c r="CW405" s="161"/>
      <c r="CX405" s="161"/>
      <c r="CY405" s="161"/>
      <c r="CZ405" s="161"/>
      <c r="DA405" s="161"/>
      <c r="DB405" s="161"/>
      <c r="DC405" s="161"/>
      <c r="DD405" s="161"/>
      <c r="DE405" s="161"/>
      <c r="DF405" s="161"/>
      <c r="DG405" s="161"/>
      <c r="DH405" s="161"/>
      <c r="DI405" s="161"/>
      <c r="DJ405" s="161"/>
      <c r="DK405" s="161"/>
      <c r="DL405" s="161"/>
      <c r="DM405" s="161"/>
      <c r="DN405" s="161"/>
      <c r="DO405" s="161"/>
      <c r="DP405" s="161"/>
      <c r="DQ405" s="161"/>
      <c r="DR405" s="161"/>
      <c r="DS405" s="161"/>
      <c r="DT405" s="161"/>
      <c r="DU405" s="161"/>
      <c r="DV405" s="161"/>
      <c r="DW405" s="161"/>
      <c r="DX405" s="161"/>
      <c r="DY405" s="161"/>
      <c r="DZ405" s="161"/>
      <c r="EA405" s="161"/>
      <c r="EB405" s="174"/>
    </row>
    <row r="406" spans="67:132">
      <c r="BO406" s="161"/>
      <c r="BP406" s="161"/>
      <c r="BQ406" s="161"/>
      <c r="BR406" s="161"/>
      <c r="BS406" s="161"/>
      <c r="BT406" s="161"/>
      <c r="BU406" s="161"/>
      <c r="BV406" s="161"/>
      <c r="BW406" s="161"/>
      <c r="BX406" s="161"/>
      <c r="BY406" s="161"/>
      <c r="BZ406" s="161"/>
      <c r="CA406" s="161"/>
      <c r="CB406" s="161"/>
      <c r="CC406" s="161"/>
      <c r="CD406" s="161"/>
      <c r="CE406" s="161"/>
      <c r="CF406" s="161"/>
      <c r="CG406" s="161"/>
      <c r="CH406" s="161"/>
      <c r="CI406" s="161"/>
      <c r="CJ406" s="161"/>
      <c r="CK406" s="161"/>
      <c r="CL406" s="161"/>
      <c r="CM406" s="161"/>
      <c r="CN406" s="161"/>
      <c r="CO406" s="161"/>
      <c r="CP406" s="161"/>
      <c r="CQ406" s="161"/>
      <c r="CR406" s="161"/>
      <c r="CS406" s="161"/>
      <c r="CT406" s="161"/>
      <c r="CU406" s="161"/>
      <c r="CV406" s="161"/>
      <c r="CW406" s="161"/>
      <c r="CX406" s="161"/>
      <c r="CY406" s="161"/>
      <c r="CZ406" s="161"/>
      <c r="DA406" s="161"/>
      <c r="DB406" s="161"/>
      <c r="DC406" s="161"/>
      <c r="DD406" s="161"/>
      <c r="DE406" s="161"/>
      <c r="DF406" s="161"/>
      <c r="DG406" s="161"/>
      <c r="DH406" s="161"/>
      <c r="DI406" s="161"/>
      <c r="DJ406" s="161"/>
      <c r="DK406" s="161"/>
      <c r="DL406" s="161"/>
      <c r="DM406" s="161"/>
      <c r="DN406" s="161"/>
      <c r="DO406" s="161"/>
      <c r="DP406" s="161"/>
      <c r="DQ406" s="161"/>
      <c r="DR406" s="161"/>
      <c r="DS406" s="161"/>
      <c r="DT406" s="161"/>
      <c r="DU406" s="161"/>
      <c r="DV406" s="161"/>
      <c r="DW406" s="161"/>
      <c r="DX406" s="161"/>
      <c r="DY406" s="161"/>
      <c r="DZ406" s="161"/>
      <c r="EA406" s="161"/>
      <c r="EB406" s="174"/>
    </row>
    <row r="407" spans="67:132">
      <c r="BO407" s="161"/>
      <c r="BP407" s="161"/>
      <c r="BQ407" s="161"/>
      <c r="BR407" s="161"/>
      <c r="BS407" s="161"/>
      <c r="BT407" s="161"/>
      <c r="BU407" s="161"/>
      <c r="BV407" s="161"/>
      <c r="BW407" s="161"/>
      <c r="BX407" s="161"/>
      <c r="BY407" s="161"/>
      <c r="BZ407" s="161"/>
      <c r="CA407" s="161"/>
      <c r="CB407" s="161"/>
      <c r="CC407" s="161"/>
      <c r="CD407" s="161"/>
      <c r="CE407" s="161"/>
      <c r="CF407" s="161"/>
      <c r="CG407" s="161"/>
      <c r="CH407" s="161"/>
      <c r="CI407" s="161"/>
      <c r="CJ407" s="161"/>
      <c r="CK407" s="161"/>
      <c r="CL407" s="161"/>
      <c r="CM407" s="161"/>
      <c r="CN407" s="161"/>
      <c r="CO407" s="161"/>
      <c r="CP407" s="161"/>
      <c r="CQ407" s="161"/>
      <c r="CR407" s="161"/>
      <c r="CS407" s="161"/>
      <c r="CT407" s="161"/>
      <c r="CU407" s="161"/>
      <c r="CV407" s="161"/>
      <c r="CW407" s="161"/>
      <c r="CX407" s="161"/>
      <c r="CY407" s="161"/>
      <c r="CZ407" s="161"/>
      <c r="DA407" s="161"/>
      <c r="DB407" s="161"/>
      <c r="DC407" s="161"/>
      <c r="DD407" s="161"/>
      <c r="DE407" s="161"/>
      <c r="DF407" s="161"/>
      <c r="DG407" s="161"/>
      <c r="DH407" s="161"/>
      <c r="DI407" s="161"/>
      <c r="DJ407" s="161"/>
      <c r="DK407" s="161"/>
      <c r="DL407" s="161"/>
      <c r="DM407" s="161"/>
      <c r="DN407" s="161"/>
      <c r="DO407" s="161"/>
      <c r="DP407" s="161"/>
      <c r="DQ407" s="161"/>
      <c r="DR407" s="161"/>
      <c r="DS407" s="161"/>
      <c r="DT407" s="161"/>
      <c r="DU407" s="161"/>
      <c r="DV407" s="161"/>
      <c r="DW407" s="161"/>
      <c r="DX407" s="161"/>
      <c r="DY407" s="161"/>
      <c r="DZ407" s="161"/>
      <c r="EA407" s="161"/>
      <c r="EB407" s="174"/>
    </row>
    <row r="408" spans="67:132">
      <c r="BO408" s="161"/>
      <c r="BP408" s="161"/>
      <c r="BQ408" s="161"/>
      <c r="BR408" s="161"/>
      <c r="BS408" s="161"/>
      <c r="BT408" s="161"/>
      <c r="BU408" s="161"/>
      <c r="BV408" s="161"/>
      <c r="BW408" s="161"/>
      <c r="BX408" s="161"/>
      <c r="BY408" s="161"/>
      <c r="BZ408" s="161"/>
      <c r="CA408" s="161"/>
      <c r="CB408" s="161"/>
      <c r="CC408" s="161"/>
      <c r="CD408" s="161"/>
      <c r="CE408" s="161"/>
      <c r="CF408" s="161"/>
      <c r="CG408" s="161"/>
      <c r="CH408" s="161"/>
      <c r="CI408" s="161"/>
      <c r="CJ408" s="161"/>
      <c r="CK408" s="161"/>
      <c r="CL408" s="161"/>
      <c r="CM408" s="161"/>
      <c r="CN408" s="161"/>
      <c r="CO408" s="161"/>
      <c r="CP408" s="161"/>
      <c r="CQ408" s="161"/>
      <c r="CR408" s="161"/>
      <c r="CS408" s="161"/>
      <c r="CT408" s="161"/>
      <c r="CU408" s="161"/>
      <c r="CV408" s="161"/>
      <c r="CW408" s="161"/>
      <c r="CX408" s="161"/>
      <c r="CY408" s="161"/>
      <c r="CZ408" s="161"/>
      <c r="DA408" s="161"/>
      <c r="DB408" s="161"/>
      <c r="DC408" s="161"/>
      <c r="DD408" s="161"/>
      <c r="DE408" s="161"/>
      <c r="DF408" s="161"/>
      <c r="DG408" s="161"/>
      <c r="DH408" s="161"/>
      <c r="DI408" s="161"/>
      <c r="DJ408" s="161"/>
      <c r="DK408" s="161"/>
      <c r="DL408" s="161"/>
      <c r="DM408" s="161"/>
      <c r="DN408" s="161"/>
      <c r="DO408" s="161"/>
      <c r="DP408" s="161"/>
      <c r="DQ408" s="161"/>
      <c r="DR408" s="161"/>
      <c r="DS408" s="161"/>
      <c r="DT408" s="161"/>
      <c r="DU408" s="161"/>
      <c r="DV408" s="161"/>
      <c r="DW408" s="161"/>
      <c r="DX408" s="161"/>
      <c r="DY408" s="161"/>
      <c r="DZ408" s="161"/>
      <c r="EA408" s="161"/>
      <c r="EB408" s="174"/>
    </row>
    <row r="409" spans="67:132">
      <c r="BO409" s="161"/>
      <c r="BP409" s="161"/>
      <c r="BQ409" s="161"/>
      <c r="BR409" s="161"/>
      <c r="BS409" s="161"/>
      <c r="BT409" s="161"/>
      <c r="BU409" s="161"/>
      <c r="BV409" s="161"/>
      <c r="BW409" s="161"/>
      <c r="BX409" s="161"/>
      <c r="BY409" s="161"/>
      <c r="BZ409" s="161"/>
      <c r="CA409" s="161"/>
      <c r="CB409" s="161"/>
      <c r="CC409" s="161"/>
      <c r="CD409" s="161"/>
      <c r="CE409" s="161"/>
      <c r="CF409" s="161"/>
      <c r="CG409" s="161"/>
      <c r="CH409" s="161"/>
      <c r="CI409" s="161"/>
      <c r="CJ409" s="161"/>
      <c r="CK409" s="161"/>
      <c r="CL409" s="161"/>
      <c r="CM409" s="161"/>
      <c r="CN409" s="161"/>
      <c r="CO409" s="161"/>
      <c r="CP409" s="161"/>
      <c r="CQ409" s="161"/>
      <c r="CR409" s="161"/>
      <c r="CS409" s="161"/>
      <c r="CT409" s="161"/>
      <c r="CU409" s="161"/>
      <c r="CV409" s="161"/>
      <c r="CW409" s="161"/>
      <c r="CX409" s="161"/>
      <c r="CY409" s="161"/>
      <c r="CZ409" s="161"/>
      <c r="DA409" s="161"/>
      <c r="DB409" s="161"/>
      <c r="DC409" s="161"/>
      <c r="DD409" s="161"/>
      <c r="DE409" s="161"/>
      <c r="DF409" s="161"/>
      <c r="DG409" s="161"/>
      <c r="DH409" s="161"/>
      <c r="DI409" s="161"/>
      <c r="DJ409" s="161"/>
      <c r="DK409" s="161"/>
      <c r="DL409" s="161"/>
      <c r="DM409" s="161"/>
      <c r="DN409" s="161"/>
      <c r="DO409" s="161"/>
      <c r="DP409" s="161"/>
      <c r="DQ409" s="161"/>
      <c r="DR409" s="161"/>
      <c r="DS409" s="161"/>
      <c r="DT409" s="161"/>
      <c r="DU409" s="161"/>
      <c r="DV409" s="161"/>
      <c r="DW409" s="161"/>
      <c r="DX409" s="161"/>
      <c r="DY409" s="161"/>
      <c r="DZ409" s="161"/>
      <c r="EA409" s="161"/>
      <c r="EB409" s="174"/>
    </row>
    <row r="410" spans="67:132">
      <c r="BO410" s="161"/>
      <c r="BP410" s="161"/>
      <c r="BQ410" s="161"/>
      <c r="BR410" s="161"/>
      <c r="BS410" s="161"/>
      <c r="BT410" s="161"/>
      <c r="BU410" s="161"/>
      <c r="BV410" s="161"/>
      <c r="BW410" s="161"/>
      <c r="BX410" s="161"/>
      <c r="BY410" s="161"/>
      <c r="BZ410" s="161"/>
      <c r="CA410" s="161"/>
      <c r="CB410" s="161"/>
      <c r="CC410" s="161"/>
      <c r="CD410" s="161"/>
      <c r="CE410" s="161"/>
      <c r="CF410" s="161"/>
      <c r="CG410" s="161"/>
      <c r="CH410" s="161"/>
      <c r="CI410" s="161"/>
      <c r="CJ410" s="161"/>
      <c r="CK410" s="161"/>
      <c r="CL410" s="161"/>
      <c r="CM410" s="161"/>
      <c r="CN410" s="161"/>
      <c r="CO410" s="161"/>
      <c r="CP410" s="161"/>
      <c r="CQ410" s="161"/>
      <c r="CR410" s="161"/>
      <c r="CS410" s="161"/>
      <c r="CT410" s="161"/>
      <c r="CU410" s="161"/>
      <c r="CV410" s="161"/>
      <c r="CW410" s="161"/>
      <c r="CX410" s="161"/>
      <c r="CY410" s="161"/>
      <c r="CZ410" s="161"/>
      <c r="DA410" s="161"/>
      <c r="DB410" s="161"/>
      <c r="DC410" s="161"/>
      <c r="DD410" s="161"/>
      <c r="DE410" s="161"/>
      <c r="DF410" s="161"/>
      <c r="DG410" s="161"/>
      <c r="DH410" s="161"/>
      <c r="DI410" s="161"/>
      <c r="DJ410" s="161"/>
      <c r="DK410" s="161"/>
      <c r="DL410" s="161"/>
      <c r="DM410" s="161"/>
      <c r="DN410" s="161"/>
      <c r="DO410" s="161"/>
      <c r="DP410" s="161"/>
      <c r="DQ410" s="161"/>
      <c r="DR410" s="161"/>
      <c r="DS410" s="161"/>
      <c r="DT410" s="161"/>
      <c r="DU410" s="161"/>
      <c r="DV410" s="161"/>
      <c r="DW410" s="161"/>
      <c r="DX410" s="161"/>
      <c r="DY410" s="161"/>
      <c r="DZ410" s="161"/>
      <c r="EA410" s="161"/>
      <c r="EB410" s="174"/>
    </row>
    <row r="411" spans="67:132">
      <c r="BO411" s="161"/>
      <c r="BP411" s="161"/>
      <c r="BQ411" s="161"/>
      <c r="BR411" s="161"/>
      <c r="BS411" s="161"/>
      <c r="BT411" s="161"/>
      <c r="BU411" s="161"/>
      <c r="BV411" s="161"/>
      <c r="BW411" s="161"/>
      <c r="BX411" s="161"/>
      <c r="BY411" s="161"/>
      <c r="BZ411" s="161"/>
      <c r="CA411" s="161"/>
      <c r="CB411" s="161"/>
      <c r="CC411" s="161"/>
      <c r="CD411" s="161"/>
      <c r="CE411" s="161"/>
      <c r="CF411" s="161"/>
      <c r="CG411" s="161"/>
      <c r="CH411" s="161"/>
      <c r="CI411" s="161"/>
      <c r="CJ411" s="161"/>
      <c r="CK411" s="161"/>
      <c r="CL411" s="161"/>
      <c r="CM411" s="161"/>
      <c r="CN411" s="161"/>
      <c r="CO411" s="161"/>
      <c r="CP411" s="161"/>
      <c r="CQ411" s="161"/>
      <c r="CR411" s="161"/>
      <c r="CS411" s="161"/>
      <c r="CT411" s="161"/>
      <c r="CU411" s="161"/>
      <c r="CV411" s="161"/>
      <c r="CW411" s="161"/>
      <c r="CX411" s="161"/>
      <c r="CY411" s="161"/>
      <c r="CZ411" s="161"/>
      <c r="DA411" s="161"/>
      <c r="DB411" s="161"/>
      <c r="DC411" s="161"/>
      <c r="DD411" s="161"/>
      <c r="DE411" s="161"/>
      <c r="DF411" s="161"/>
      <c r="DG411" s="161"/>
      <c r="DH411" s="161"/>
      <c r="DI411" s="161"/>
      <c r="DJ411" s="161"/>
      <c r="DK411" s="161"/>
      <c r="DL411" s="161"/>
      <c r="DM411" s="161"/>
      <c r="DN411" s="161"/>
      <c r="DO411" s="161"/>
      <c r="DP411" s="161"/>
      <c r="DQ411" s="161"/>
      <c r="DR411" s="161"/>
      <c r="DS411" s="161"/>
      <c r="DT411" s="161"/>
      <c r="DU411" s="161"/>
      <c r="DV411" s="161"/>
      <c r="DW411" s="161"/>
      <c r="DX411" s="161"/>
      <c r="DY411" s="161"/>
      <c r="DZ411" s="161"/>
      <c r="EA411" s="161"/>
      <c r="EB411" s="174"/>
    </row>
    <row r="412" spans="67:132">
      <c r="BO412" s="161"/>
      <c r="BP412" s="161"/>
      <c r="BQ412" s="161"/>
      <c r="BR412" s="161"/>
      <c r="BS412" s="161"/>
      <c r="BT412" s="161"/>
      <c r="BU412" s="161"/>
      <c r="BV412" s="161"/>
      <c r="BW412" s="161"/>
      <c r="BX412" s="161"/>
      <c r="BY412" s="161"/>
      <c r="BZ412" s="161"/>
      <c r="CA412" s="161"/>
      <c r="CB412" s="161"/>
      <c r="CC412" s="161"/>
      <c r="CD412" s="161"/>
      <c r="CE412" s="161"/>
      <c r="CF412" s="161"/>
      <c r="CG412" s="161"/>
      <c r="CH412" s="161"/>
      <c r="CI412" s="161"/>
      <c r="CJ412" s="161"/>
      <c r="CK412" s="161"/>
      <c r="CL412" s="161"/>
      <c r="CM412" s="161"/>
      <c r="CN412" s="161"/>
      <c r="CO412" s="161"/>
      <c r="CP412" s="161"/>
      <c r="CQ412" s="161"/>
      <c r="CR412" s="161"/>
      <c r="CS412" s="161"/>
      <c r="CT412" s="161"/>
      <c r="CU412" s="161"/>
      <c r="CV412" s="161"/>
      <c r="CW412" s="161"/>
      <c r="CX412" s="161"/>
      <c r="CY412" s="161"/>
      <c r="CZ412" s="161"/>
      <c r="DA412" s="161"/>
      <c r="DB412" s="161"/>
      <c r="DC412" s="161"/>
      <c r="DD412" s="161"/>
      <c r="DE412" s="161"/>
      <c r="DF412" s="161"/>
      <c r="DG412" s="161"/>
      <c r="DH412" s="161"/>
      <c r="DI412" s="161"/>
      <c r="DJ412" s="161"/>
      <c r="DK412" s="161"/>
      <c r="DL412" s="161"/>
      <c r="DM412" s="161"/>
      <c r="DN412" s="161"/>
      <c r="DO412" s="161"/>
      <c r="DP412" s="161"/>
      <c r="DQ412" s="161"/>
      <c r="DR412" s="161"/>
      <c r="DS412" s="161"/>
      <c r="DT412" s="161"/>
      <c r="DU412" s="161"/>
      <c r="DV412" s="161"/>
      <c r="DW412" s="161"/>
      <c r="DX412" s="161"/>
      <c r="DY412" s="161"/>
      <c r="DZ412" s="161"/>
      <c r="EA412" s="161"/>
      <c r="EB412" s="174"/>
    </row>
    <row r="413" spans="67:132">
      <c r="BO413" s="161"/>
      <c r="BP413" s="161"/>
      <c r="BQ413" s="161"/>
      <c r="BR413" s="161"/>
      <c r="BS413" s="161"/>
      <c r="BT413" s="161"/>
      <c r="BU413" s="161"/>
      <c r="BV413" s="161"/>
      <c r="BW413" s="161"/>
      <c r="BX413" s="161"/>
      <c r="BY413" s="161"/>
      <c r="BZ413" s="161"/>
      <c r="CA413" s="161"/>
      <c r="CB413" s="161"/>
      <c r="CC413" s="161"/>
      <c r="CD413" s="161"/>
      <c r="CE413" s="161"/>
      <c r="CF413" s="161"/>
      <c r="CG413" s="161"/>
      <c r="CH413" s="161"/>
      <c r="CI413" s="161"/>
      <c r="CJ413" s="161"/>
      <c r="CK413" s="161"/>
      <c r="CL413" s="161"/>
      <c r="CM413" s="161"/>
      <c r="CN413" s="161"/>
      <c r="CO413" s="161"/>
      <c r="CP413" s="161"/>
      <c r="CQ413" s="161"/>
      <c r="CR413" s="161"/>
      <c r="CS413" s="161"/>
      <c r="CT413" s="161"/>
      <c r="CU413" s="161"/>
      <c r="CV413" s="161"/>
      <c r="CW413" s="161"/>
      <c r="CX413" s="161"/>
      <c r="CY413" s="161"/>
      <c r="CZ413" s="161"/>
      <c r="DA413" s="161"/>
      <c r="DB413" s="161"/>
      <c r="DC413" s="161"/>
      <c r="DD413" s="161"/>
      <c r="DE413" s="161"/>
      <c r="DF413" s="161"/>
      <c r="DG413" s="161"/>
      <c r="DH413" s="161"/>
      <c r="DI413" s="161"/>
      <c r="DJ413" s="161"/>
      <c r="DK413" s="161"/>
      <c r="DL413" s="161"/>
      <c r="DM413" s="161"/>
      <c r="DN413" s="161"/>
      <c r="DO413" s="161"/>
      <c r="DP413" s="161"/>
      <c r="DQ413" s="161"/>
      <c r="DR413" s="161"/>
      <c r="DS413" s="161"/>
      <c r="DT413" s="161"/>
      <c r="DU413" s="161"/>
      <c r="DV413" s="161"/>
      <c r="DW413" s="161"/>
      <c r="DX413" s="161"/>
      <c r="DY413" s="161"/>
      <c r="DZ413" s="161"/>
      <c r="EA413" s="161"/>
      <c r="EB413" s="174"/>
    </row>
    <row r="414" spans="67:132">
      <c r="BO414" s="161"/>
      <c r="BP414" s="161"/>
      <c r="BQ414" s="161"/>
      <c r="BR414" s="161"/>
      <c r="BS414" s="161"/>
      <c r="BT414" s="161"/>
      <c r="BU414" s="161"/>
      <c r="BV414" s="161"/>
      <c r="BW414" s="161"/>
      <c r="BX414" s="161"/>
      <c r="BY414" s="161"/>
      <c r="BZ414" s="161"/>
      <c r="CA414" s="161"/>
      <c r="CB414" s="161"/>
      <c r="CC414" s="161"/>
      <c r="CD414" s="161"/>
      <c r="CE414" s="161"/>
      <c r="CF414" s="161"/>
      <c r="CG414" s="161"/>
      <c r="CH414" s="161"/>
      <c r="CI414" s="161"/>
      <c r="CJ414" s="161"/>
      <c r="CK414" s="161"/>
      <c r="CL414" s="161"/>
      <c r="CM414" s="161"/>
      <c r="CN414" s="161"/>
      <c r="CO414" s="161"/>
      <c r="CP414" s="161"/>
      <c r="CQ414" s="161"/>
      <c r="CR414" s="161"/>
      <c r="CS414" s="161"/>
      <c r="CT414" s="161"/>
      <c r="CU414" s="161"/>
      <c r="CV414" s="161"/>
      <c r="CW414" s="161"/>
      <c r="CX414" s="161"/>
      <c r="CY414" s="161"/>
      <c r="CZ414" s="161"/>
      <c r="DA414" s="161"/>
      <c r="DB414" s="161"/>
      <c r="DC414" s="161"/>
      <c r="DD414" s="161"/>
      <c r="DE414" s="161"/>
      <c r="DF414" s="161"/>
      <c r="DG414" s="161"/>
      <c r="DH414" s="161"/>
      <c r="DI414" s="161"/>
      <c r="DJ414" s="161"/>
      <c r="DK414" s="161"/>
      <c r="DL414" s="161"/>
      <c r="DM414" s="161"/>
      <c r="DN414" s="161"/>
      <c r="DO414" s="161"/>
      <c r="DP414" s="161"/>
      <c r="DQ414" s="161"/>
      <c r="DR414" s="161"/>
      <c r="DS414" s="161"/>
      <c r="DT414" s="161"/>
      <c r="DU414" s="161"/>
      <c r="DV414" s="161"/>
      <c r="DW414" s="161"/>
      <c r="DX414" s="161"/>
      <c r="DY414" s="161"/>
      <c r="DZ414" s="161"/>
      <c r="EA414" s="161"/>
      <c r="EB414" s="174"/>
    </row>
    <row r="415" spans="67:132">
      <c r="BO415" s="161"/>
      <c r="BP415" s="161"/>
      <c r="BQ415" s="161"/>
      <c r="BR415" s="161"/>
      <c r="BS415" s="161"/>
      <c r="BT415" s="161"/>
      <c r="BU415" s="161"/>
      <c r="BV415" s="161"/>
      <c r="BW415" s="161"/>
      <c r="BX415" s="161"/>
      <c r="BY415" s="161"/>
      <c r="BZ415" s="161"/>
      <c r="CA415" s="161"/>
      <c r="CB415" s="161"/>
      <c r="CC415" s="161"/>
      <c r="CD415" s="161"/>
      <c r="CE415" s="161"/>
      <c r="CF415" s="161"/>
      <c r="CG415" s="161"/>
      <c r="CH415" s="161"/>
      <c r="CI415" s="161"/>
      <c r="CJ415" s="161"/>
      <c r="CK415" s="161"/>
      <c r="CL415" s="161"/>
      <c r="CM415" s="161"/>
      <c r="CN415" s="161"/>
      <c r="CO415" s="161"/>
      <c r="CP415" s="161"/>
      <c r="CQ415" s="161"/>
      <c r="CR415" s="161"/>
      <c r="CS415" s="161"/>
      <c r="CT415" s="161"/>
      <c r="CU415" s="161"/>
      <c r="CV415" s="161"/>
      <c r="CW415" s="161"/>
      <c r="CX415" s="161"/>
      <c r="CY415" s="161"/>
      <c r="CZ415" s="161"/>
      <c r="DA415" s="161"/>
      <c r="DB415" s="161"/>
      <c r="DC415" s="161"/>
      <c r="DD415" s="161"/>
      <c r="DE415" s="161"/>
      <c r="DF415" s="161"/>
      <c r="DG415" s="161"/>
      <c r="DH415" s="161"/>
      <c r="DI415" s="161"/>
      <c r="DJ415" s="161"/>
      <c r="DK415" s="161"/>
      <c r="DL415" s="161"/>
      <c r="DM415" s="161"/>
      <c r="DN415" s="161"/>
      <c r="DO415" s="161"/>
      <c r="DP415" s="161"/>
      <c r="DQ415" s="161"/>
      <c r="DR415" s="161"/>
      <c r="DS415" s="161"/>
      <c r="DT415" s="161"/>
      <c r="DU415" s="161"/>
      <c r="DV415" s="161"/>
      <c r="DW415" s="161"/>
      <c r="DX415" s="161"/>
      <c r="DY415" s="161"/>
      <c r="DZ415" s="161"/>
      <c r="EA415" s="161"/>
      <c r="EB415" s="174"/>
    </row>
    <row r="416" spans="67:132">
      <c r="BO416" s="161"/>
      <c r="BP416" s="161"/>
      <c r="BQ416" s="161"/>
      <c r="BR416" s="161"/>
      <c r="BS416" s="161"/>
      <c r="BT416" s="161"/>
      <c r="BU416" s="161"/>
      <c r="BV416" s="161"/>
      <c r="BW416" s="161"/>
      <c r="BX416" s="161"/>
      <c r="BY416" s="161"/>
      <c r="BZ416" s="161"/>
      <c r="CA416" s="161"/>
      <c r="CB416" s="161"/>
      <c r="CC416" s="161"/>
      <c r="CD416" s="161"/>
      <c r="CE416" s="161"/>
      <c r="CF416" s="161"/>
      <c r="CG416" s="161"/>
      <c r="CH416" s="161"/>
      <c r="CI416" s="161"/>
      <c r="CJ416" s="161"/>
      <c r="CK416" s="161"/>
      <c r="CL416" s="161"/>
      <c r="CM416" s="161"/>
      <c r="CN416" s="161"/>
      <c r="CO416" s="161"/>
      <c r="CP416" s="161"/>
      <c r="CQ416" s="161"/>
      <c r="CR416" s="161"/>
      <c r="CS416" s="161"/>
      <c r="CT416" s="161"/>
      <c r="CU416" s="161"/>
      <c r="CV416" s="161"/>
      <c r="CW416" s="161"/>
      <c r="CX416" s="161"/>
      <c r="CY416" s="161"/>
      <c r="CZ416" s="161"/>
      <c r="DA416" s="161"/>
      <c r="DB416" s="161"/>
      <c r="DC416" s="161"/>
      <c r="DD416" s="161"/>
      <c r="DE416" s="161"/>
      <c r="DF416" s="161"/>
      <c r="DG416" s="161"/>
      <c r="DH416" s="161"/>
      <c r="DI416" s="161"/>
      <c r="DJ416" s="161"/>
      <c r="DK416" s="161"/>
      <c r="DL416" s="161"/>
      <c r="DM416" s="161"/>
      <c r="DN416" s="161"/>
      <c r="DO416" s="161"/>
      <c r="DP416" s="161"/>
      <c r="DQ416" s="161"/>
      <c r="DR416" s="161"/>
      <c r="DS416" s="161"/>
      <c r="DT416" s="161"/>
      <c r="DU416" s="161"/>
      <c r="DV416" s="161"/>
      <c r="DW416" s="161"/>
      <c r="DX416" s="161"/>
      <c r="DY416" s="161"/>
      <c r="DZ416" s="161"/>
      <c r="EA416" s="161"/>
      <c r="EB416" s="174"/>
    </row>
    <row r="417" spans="67:132">
      <c r="BO417" s="161"/>
      <c r="BP417" s="161"/>
      <c r="BQ417" s="161"/>
      <c r="BR417" s="161"/>
      <c r="BS417" s="161"/>
      <c r="BT417" s="161"/>
      <c r="BU417" s="161"/>
      <c r="BV417" s="161"/>
      <c r="BW417" s="161"/>
      <c r="BX417" s="161"/>
      <c r="BY417" s="161"/>
      <c r="BZ417" s="161"/>
      <c r="CA417" s="161"/>
      <c r="CB417" s="161"/>
      <c r="CC417" s="161"/>
      <c r="CD417" s="161"/>
      <c r="CE417" s="161"/>
      <c r="CF417" s="161"/>
      <c r="CG417" s="161"/>
      <c r="CH417" s="161"/>
      <c r="CI417" s="161"/>
      <c r="CJ417" s="161"/>
      <c r="CK417" s="161"/>
      <c r="CL417" s="161"/>
      <c r="CM417" s="161"/>
      <c r="CN417" s="161"/>
      <c r="CO417" s="161"/>
      <c r="CP417" s="161"/>
      <c r="CQ417" s="161"/>
      <c r="CR417" s="161"/>
      <c r="CS417" s="161"/>
      <c r="CT417" s="161"/>
      <c r="CU417" s="161"/>
      <c r="CV417" s="161"/>
      <c r="CW417" s="161"/>
      <c r="CX417" s="161"/>
      <c r="CY417" s="161"/>
      <c r="CZ417" s="161"/>
      <c r="DA417" s="161"/>
      <c r="DB417" s="161"/>
      <c r="DC417" s="161"/>
      <c r="DD417" s="161"/>
      <c r="DE417" s="161"/>
      <c r="DF417" s="161"/>
      <c r="DG417" s="161"/>
      <c r="DH417" s="161"/>
      <c r="DI417" s="161"/>
      <c r="DJ417" s="161"/>
      <c r="DK417" s="161"/>
      <c r="DL417" s="161"/>
      <c r="DM417" s="161"/>
      <c r="DN417" s="161"/>
      <c r="DO417" s="161"/>
      <c r="DP417" s="161"/>
      <c r="DQ417" s="161"/>
      <c r="DR417" s="161"/>
      <c r="DS417" s="161"/>
      <c r="DT417" s="161"/>
      <c r="DU417" s="161"/>
      <c r="DV417" s="161"/>
      <c r="DW417" s="161"/>
      <c r="DX417" s="161"/>
      <c r="DY417" s="161"/>
      <c r="DZ417" s="161"/>
      <c r="EA417" s="161"/>
      <c r="EB417" s="174"/>
    </row>
    <row r="418" spans="67:132">
      <c r="BO418" s="161"/>
      <c r="BP418" s="161"/>
      <c r="BQ418" s="161"/>
      <c r="BR418" s="161"/>
      <c r="BS418" s="161"/>
      <c r="BT418" s="161"/>
      <c r="BU418" s="161"/>
      <c r="BV418" s="161"/>
      <c r="BW418" s="161"/>
      <c r="BX418" s="161"/>
      <c r="BY418" s="161"/>
      <c r="BZ418" s="161"/>
      <c r="CA418" s="161"/>
      <c r="CB418" s="161"/>
      <c r="CC418" s="161"/>
      <c r="CD418" s="161"/>
      <c r="CE418" s="161"/>
      <c r="CF418" s="161"/>
      <c r="CG418" s="161"/>
      <c r="CH418" s="161"/>
      <c r="CI418" s="161"/>
      <c r="CJ418" s="161"/>
      <c r="CK418" s="161"/>
      <c r="CL418" s="161"/>
      <c r="CM418" s="161"/>
      <c r="CN418" s="161"/>
      <c r="CO418" s="161"/>
      <c r="CP418" s="161"/>
      <c r="CQ418" s="161"/>
      <c r="CR418" s="161"/>
      <c r="CS418" s="161"/>
      <c r="CT418" s="161"/>
      <c r="CU418" s="161"/>
      <c r="CV418" s="161"/>
      <c r="CW418" s="161"/>
      <c r="CX418" s="161"/>
      <c r="CY418" s="161"/>
      <c r="CZ418" s="161"/>
      <c r="DA418" s="161"/>
      <c r="DB418" s="161"/>
      <c r="DC418" s="161"/>
      <c r="DD418" s="161"/>
      <c r="DE418" s="161"/>
      <c r="DF418" s="161"/>
      <c r="DG418" s="161"/>
      <c r="DH418" s="161"/>
      <c r="DI418" s="161"/>
      <c r="DJ418" s="161"/>
      <c r="DK418" s="161"/>
      <c r="DL418" s="161"/>
      <c r="DM418" s="161"/>
      <c r="DN418" s="161"/>
      <c r="DO418" s="161"/>
      <c r="DP418" s="161"/>
      <c r="DQ418" s="161"/>
      <c r="DR418" s="161"/>
      <c r="DS418" s="161"/>
      <c r="DT418" s="161"/>
      <c r="DU418" s="161"/>
      <c r="DV418" s="161"/>
      <c r="DW418" s="161"/>
      <c r="DX418" s="161"/>
      <c r="DY418" s="161"/>
      <c r="DZ418" s="161"/>
      <c r="EA418" s="161"/>
      <c r="EB418" s="174"/>
    </row>
    <row r="419" spans="67:132">
      <c r="BO419" s="161"/>
      <c r="BP419" s="161"/>
      <c r="BQ419" s="161"/>
      <c r="BR419" s="161"/>
      <c r="BS419" s="161"/>
      <c r="BT419" s="161"/>
      <c r="BU419" s="161"/>
      <c r="BV419" s="161"/>
      <c r="BW419" s="161"/>
      <c r="BX419" s="161"/>
      <c r="BY419" s="161"/>
      <c r="BZ419" s="161"/>
      <c r="CA419" s="161"/>
      <c r="CB419" s="161"/>
      <c r="CC419" s="161"/>
      <c r="CD419" s="161"/>
      <c r="CE419" s="161"/>
      <c r="CF419" s="161"/>
      <c r="CG419" s="161"/>
      <c r="CH419" s="161"/>
      <c r="CI419" s="161"/>
      <c r="CJ419" s="161"/>
      <c r="CK419" s="161"/>
      <c r="CL419" s="161"/>
      <c r="CM419" s="161"/>
      <c r="CN419" s="161"/>
      <c r="CO419" s="161"/>
      <c r="CP419" s="161"/>
      <c r="CQ419" s="161"/>
      <c r="CR419" s="161"/>
      <c r="CS419" s="161"/>
      <c r="CT419" s="161"/>
      <c r="CU419" s="161"/>
      <c r="CV419" s="161"/>
      <c r="CW419" s="161"/>
      <c r="CX419" s="161"/>
      <c r="CY419" s="161"/>
      <c r="CZ419" s="161"/>
      <c r="DA419" s="161"/>
      <c r="DB419" s="161"/>
      <c r="DC419" s="161"/>
      <c r="DD419" s="161"/>
      <c r="DE419" s="161"/>
      <c r="DF419" s="161"/>
      <c r="DG419" s="161"/>
      <c r="DH419" s="161"/>
      <c r="DI419" s="161"/>
      <c r="DJ419" s="161"/>
      <c r="DK419" s="161"/>
      <c r="DL419" s="161"/>
      <c r="DM419" s="161"/>
      <c r="DN419" s="161"/>
      <c r="DO419" s="161"/>
      <c r="DP419" s="161"/>
      <c r="DQ419" s="161"/>
      <c r="DR419" s="161"/>
      <c r="DS419" s="161"/>
      <c r="DT419" s="161"/>
      <c r="DU419" s="161"/>
      <c r="DV419" s="161"/>
      <c r="DW419" s="161"/>
      <c r="DX419" s="161"/>
      <c r="DY419" s="161"/>
      <c r="DZ419" s="161"/>
      <c r="EA419" s="161"/>
      <c r="EB419" s="174"/>
    </row>
    <row r="420" spans="67:132">
      <c r="BO420" s="161"/>
      <c r="BP420" s="161"/>
      <c r="BQ420" s="161"/>
      <c r="BR420" s="161"/>
      <c r="BS420" s="161"/>
      <c r="BT420" s="161"/>
      <c r="BU420" s="161"/>
      <c r="BV420" s="161"/>
      <c r="BW420" s="161"/>
      <c r="BX420" s="161"/>
      <c r="BY420" s="161"/>
      <c r="BZ420" s="161"/>
      <c r="CA420" s="161"/>
      <c r="CB420" s="161"/>
      <c r="CC420" s="161"/>
      <c r="CD420" s="161"/>
      <c r="CE420" s="161"/>
      <c r="CF420" s="161"/>
      <c r="CG420" s="161"/>
      <c r="CH420" s="161"/>
      <c r="CI420" s="161"/>
      <c r="CJ420" s="161"/>
      <c r="CK420" s="161"/>
      <c r="CL420" s="161"/>
      <c r="CM420" s="161"/>
      <c r="CN420" s="161"/>
      <c r="CO420" s="161"/>
      <c r="CP420" s="161"/>
      <c r="CQ420" s="161"/>
      <c r="CR420" s="161"/>
      <c r="CS420" s="161"/>
      <c r="CT420" s="161"/>
      <c r="CU420" s="161"/>
      <c r="CV420" s="161"/>
      <c r="CW420" s="161"/>
      <c r="CX420" s="161"/>
      <c r="CY420" s="161"/>
      <c r="CZ420" s="161"/>
      <c r="DA420" s="161"/>
      <c r="DB420" s="161"/>
      <c r="DC420" s="161"/>
      <c r="DD420" s="161"/>
      <c r="DE420" s="161"/>
      <c r="DF420" s="161"/>
      <c r="DG420" s="161"/>
      <c r="DH420" s="161"/>
      <c r="DI420" s="161"/>
      <c r="DJ420" s="161"/>
      <c r="DK420" s="161"/>
      <c r="DL420" s="161"/>
      <c r="DM420" s="161"/>
      <c r="DN420" s="161"/>
      <c r="DO420" s="161"/>
      <c r="DP420" s="161"/>
      <c r="DQ420" s="161"/>
      <c r="DR420" s="161"/>
      <c r="DS420" s="161"/>
      <c r="DT420" s="161"/>
      <c r="DU420" s="161"/>
      <c r="DV420" s="161"/>
      <c r="DW420" s="161"/>
      <c r="DX420" s="161"/>
      <c r="DY420" s="161"/>
      <c r="DZ420" s="161"/>
      <c r="EA420" s="161"/>
      <c r="EB420" s="174"/>
    </row>
    <row r="421" spans="67:132">
      <c r="BO421" s="161"/>
      <c r="BP421" s="161"/>
      <c r="BQ421" s="161"/>
      <c r="BR421" s="161"/>
      <c r="BS421" s="161"/>
      <c r="BT421" s="161"/>
      <c r="BU421" s="161"/>
      <c r="BV421" s="161"/>
      <c r="BW421" s="161"/>
      <c r="BX421" s="161"/>
      <c r="BY421" s="161"/>
      <c r="BZ421" s="161"/>
      <c r="CA421" s="161"/>
      <c r="CB421" s="161"/>
      <c r="CC421" s="161"/>
      <c r="CD421" s="161"/>
      <c r="CE421" s="161"/>
      <c r="CF421" s="161"/>
      <c r="CG421" s="161"/>
      <c r="CH421" s="161"/>
      <c r="CI421" s="161"/>
      <c r="CJ421" s="161"/>
      <c r="CK421" s="161"/>
      <c r="CL421" s="161"/>
      <c r="CM421" s="161"/>
      <c r="CN421" s="161"/>
      <c r="CO421" s="161"/>
      <c r="CP421" s="161"/>
      <c r="CQ421" s="161"/>
      <c r="CR421" s="161"/>
      <c r="CS421" s="161"/>
      <c r="CT421" s="161"/>
      <c r="CU421" s="161"/>
      <c r="CV421" s="161"/>
      <c r="CW421" s="161"/>
      <c r="CX421" s="161"/>
      <c r="CY421" s="161"/>
      <c r="CZ421" s="161"/>
      <c r="DA421" s="161"/>
      <c r="DB421" s="161"/>
      <c r="DC421" s="161"/>
      <c r="DD421" s="161"/>
      <c r="DE421" s="161"/>
      <c r="DF421" s="161"/>
      <c r="DG421" s="161"/>
      <c r="DH421" s="161"/>
      <c r="DI421" s="161"/>
      <c r="DJ421" s="161"/>
      <c r="DK421" s="161"/>
      <c r="DL421" s="161"/>
      <c r="DM421" s="161"/>
      <c r="DN421" s="161"/>
      <c r="DO421" s="161"/>
      <c r="DP421" s="161"/>
      <c r="DQ421" s="161"/>
      <c r="DR421" s="161"/>
      <c r="DS421" s="161"/>
      <c r="DT421" s="161"/>
      <c r="DU421" s="161"/>
      <c r="DV421" s="161"/>
      <c r="DW421" s="161"/>
      <c r="DX421" s="161"/>
      <c r="DY421" s="161"/>
      <c r="DZ421" s="161"/>
      <c r="EA421" s="161"/>
      <c r="EB421" s="174"/>
    </row>
    <row r="422" spans="67:132">
      <c r="BO422" s="161"/>
      <c r="BP422" s="161"/>
      <c r="BQ422" s="161"/>
      <c r="BR422" s="161"/>
      <c r="BS422" s="161"/>
      <c r="BT422" s="161"/>
      <c r="BU422" s="161"/>
      <c r="BV422" s="161"/>
      <c r="BW422" s="161"/>
      <c r="BX422" s="161"/>
      <c r="BY422" s="161"/>
      <c r="BZ422" s="161"/>
      <c r="CA422" s="161"/>
      <c r="CB422" s="161"/>
      <c r="CC422" s="161"/>
      <c r="CD422" s="161"/>
      <c r="CE422" s="161"/>
      <c r="CF422" s="161"/>
      <c r="CG422" s="161"/>
      <c r="CH422" s="161"/>
      <c r="CI422" s="161"/>
      <c r="CJ422" s="161"/>
      <c r="CK422" s="161"/>
      <c r="CL422" s="161"/>
      <c r="CM422" s="161"/>
      <c r="CN422" s="161"/>
      <c r="CO422" s="161"/>
      <c r="CP422" s="161"/>
      <c r="CQ422" s="161"/>
      <c r="CR422" s="161"/>
      <c r="CS422" s="161"/>
      <c r="CT422" s="161"/>
      <c r="CU422" s="161"/>
      <c r="CV422" s="161"/>
      <c r="CW422" s="161"/>
      <c r="CX422" s="161"/>
      <c r="CY422" s="161"/>
      <c r="CZ422" s="161"/>
      <c r="DA422" s="161"/>
      <c r="DB422" s="161"/>
      <c r="DC422" s="161"/>
      <c r="DD422" s="161"/>
      <c r="DE422" s="161"/>
      <c r="DF422" s="161"/>
      <c r="DG422" s="161"/>
      <c r="DH422" s="161"/>
      <c r="DI422" s="161"/>
      <c r="DJ422" s="161"/>
      <c r="DK422" s="161"/>
      <c r="DL422" s="161"/>
      <c r="DM422" s="161"/>
      <c r="DN422" s="161"/>
      <c r="DO422" s="161"/>
      <c r="DP422" s="161"/>
      <c r="DQ422" s="161"/>
      <c r="DR422" s="161"/>
      <c r="DS422" s="161"/>
      <c r="DT422" s="161"/>
      <c r="DU422" s="161"/>
      <c r="DV422" s="161"/>
      <c r="DW422" s="161"/>
      <c r="DX422" s="161"/>
      <c r="DY422" s="161"/>
      <c r="DZ422" s="161"/>
      <c r="EA422" s="161"/>
      <c r="EB422" s="174"/>
    </row>
    <row r="423" spans="67:132">
      <c r="BO423" s="161"/>
      <c r="BP423" s="161"/>
      <c r="BQ423" s="161"/>
      <c r="BR423" s="161"/>
      <c r="BS423" s="161"/>
      <c r="BT423" s="161"/>
      <c r="BU423" s="161"/>
      <c r="BV423" s="161"/>
      <c r="BW423" s="161"/>
      <c r="BX423" s="161"/>
      <c r="BY423" s="161"/>
      <c r="BZ423" s="161"/>
      <c r="CA423" s="161"/>
      <c r="CB423" s="161"/>
      <c r="CC423" s="161"/>
      <c r="CD423" s="161"/>
      <c r="CE423" s="161"/>
      <c r="CF423" s="161"/>
      <c r="CG423" s="161"/>
      <c r="CH423" s="161"/>
      <c r="CI423" s="161"/>
      <c r="CJ423" s="161"/>
      <c r="CK423" s="161"/>
      <c r="CL423" s="161"/>
      <c r="CM423" s="161"/>
      <c r="CN423" s="161"/>
      <c r="CO423" s="161"/>
      <c r="CP423" s="161"/>
      <c r="CQ423" s="161"/>
      <c r="CR423" s="161"/>
      <c r="CS423" s="161"/>
      <c r="CT423" s="161"/>
      <c r="CU423" s="161"/>
      <c r="CV423" s="161"/>
      <c r="CW423" s="161"/>
      <c r="CX423" s="161"/>
      <c r="CY423" s="161"/>
      <c r="CZ423" s="161"/>
      <c r="DA423" s="161"/>
      <c r="DB423" s="161"/>
      <c r="DC423" s="161"/>
      <c r="DD423" s="161"/>
      <c r="DE423" s="161"/>
      <c r="DF423" s="161"/>
      <c r="DG423" s="161"/>
      <c r="DH423" s="161"/>
      <c r="DI423" s="161"/>
      <c r="DJ423" s="161"/>
      <c r="DK423" s="161"/>
      <c r="DL423" s="161"/>
      <c r="DM423" s="161"/>
      <c r="DN423" s="161"/>
      <c r="DO423" s="161"/>
      <c r="DP423" s="161"/>
      <c r="DQ423" s="161"/>
      <c r="DR423" s="161"/>
      <c r="DS423" s="161"/>
      <c r="DT423" s="161"/>
      <c r="DU423" s="161"/>
      <c r="DV423" s="161"/>
      <c r="DW423" s="161"/>
      <c r="DX423" s="161"/>
      <c r="DY423" s="161"/>
      <c r="DZ423" s="161"/>
      <c r="EA423" s="161"/>
      <c r="EB423" s="174"/>
    </row>
    <row r="424" spans="67:132">
      <c r="BO424" s="161"/>
      <c r="BP424" s="161"/>
      <c r="BQ424" s="161"/>
      <c r="BR424" s="161"/>
      <c r="BS424" s="161"/>
      <c r="BT424" s="161"/>
      <c r="BU424" s="161"/>
      <c r="BV424" s="161"/>
      <c r="BW424" s="161"/>
      <c r="BX424" s="161"/>
      <c r="BY424" s="161"/>
      <c r="BZ424" s="161"/>
      <c r="CA424" s="161"/>
      <c r="CB424" s="161"/>
      <c r="CC424" s="161"/>
      <c r="CD424" s="161"/>
      <c r="CE424" s="161"/>
      <c r="CF424" s="161"/>
      <c r="CG424" s="161"/>
      <c r="CH424" s="161"/>
      <c r="CI424" s="161"/>
      <c r="CJ424" s="161"/>
      <c r="CK424" s="161"/>
      <c r="CL424" s="161"/>
      <c r="CM424" s="161"/>
      <c r="CN424" s="161"/>
      <c r="CO424" s="161"/>
      <c r="CP424" s="161"/>
      <c r="CQ424" s="161"/>
      <c r="CR424" s="161"/>
      <c r="CS424" s="161"/>
      <c r="CT424" s="161"/>
      <c r="CU424" s="161"/>
      <c r="CV424" s="161"/>
      <c r="CW424" s="161"/>
      <c r="CX424" s="161"/>
      <c r="CY424" s="161"/>
      <c r="CZ424" s="161"/>
      <c r="DA424" s="161"/>
      <c r="DB424" s="161"/>
      <c r="DC424" s="161"/>
      <c r="DD424" s="161"/>
      <c r="DE424" s="161"/>
      <c r="DF424" s="161"/>
      <c r="DG424" s="161"/>
      <c r="DH424" s="161"/>
      <c r="DI424" s="161"/>
      <c r="DJ424" s="161"/>
      <c r="DK424" s="161"/>
      <c r="DL424" s="161"/>
      <c r="DM424" s="161"/>
      <c r="DN424" s="161"/>
      <c r="DO424" s="161"/>
      <c r="DP424" s="161"/>
      <c r="DQ424" s="161"/>
      <c r="DR424" s="161"/>
      <c r="DS424" s="161"/>
      <c r="DT424" s="161"/>
      <c r="DU424" s="161"/>
      <c r="DV424" s="161"/>
      <c r="DW424" s="161"/>
      <c r="DX424" s="161"/>
      <c r="DY424" s="161"/>
      <c r="DZ424" s="161"/>
      <c r="EA424" s="161"/>
      <c r="EB424" s="174"/>
    </row>
    <row r="425" spans="67:132">
      <c r="BO425" s="161"/>
      <c r="BP425" s="161"/>
      <c r="BQ425" s="161"/>
      <c r="BR425" s="161"/>
      <c r="BS425" s="161"/>
      <c r="BT425" s="161"/>
      <c r="BU425" s="161"/>
      <c r="BV425" s="161"/>
      <c r="BW425" s="161"/>
      <c r="BX425" s="161"/>
      <c r="BY425" s="161"/>
      <c r="BZ425" s="161"/>
      <c r="CA425" s="161"/>
      <c r="CB425" s="161"/>
      <c r="CC425" s="161"/>
      <c r="CD425" s="161"/>
      <c r="CE425" s="161"/>
      <c r="CF425" s="161"/>
      <c r="CG425" s="161"/>
      <c r="CH425" s="161"/>
      <c r="CI425" s="161"/>
      <c r="CJ425" s="161"/>
      <c r="CK425" s="161"/>
      <c r="CL425" s="161"/>
      <c r="CM425" s="161"/>
      <c r="CN425" s="161"/>
      <c r="CO425" s="161"/>
      <c r="CP425" s="161"/>
      <c r="CQ425" s="161"/>
      <c r="CR425" s="161"/>
      <c r="CS425" s="161"/>
      <c r="CT425" s="161"/>
      <c r="CU425" s="161"/>
      <c r="CV425" s="161"/>
      <c r="CW425" s="161"/>
      <c r="CX425" s="161"/>
      <c r="CY425" s="161"/>
      <c r="CZ425" s="161"/>
      <c r="DA425" s="161"/>
      <c r="DB425" s="161"/>
      <c r="DC425" s="161"/>
      <c r="DD425" s="161"/>
      <c r="DE425" s="161"/>
      <c r="DF425" s="161"/>
      <c r="DG425" s="161"/>
      <c r="DH425" s="161"/>
      <c r="DI425" s="161"/>
      <c r="DJ425" s="161"/>
      <c r="DK425" s="161"/>
      <c r="DL425" s="161"/>
      <c r="DM425" s="161"/>
      <c r="DN425" s="161"/>
      <c r="DO425" s="161"/>
      <c r="DP425" s="161"/>
      <c r="DQ425" s="161"/>
      <c r="DR425" s="161"/>
      <c r="DS425" s="161"/>
      <c r="DT425" s="161"/>
      <c r="DU425" s="161"/>
      <c r="DV425" s="161"/>
      <c r="DW425" s="161"/>
      <c r="DX425" s="161"/>
      <c r="DY425" s="161"/>
      <c r="DZ425" s="161"/>
      <c r="EA425" s="161"/>
      <c r="EB425" s="174"/>
    </row>
    <row r="426" spans="67:132">
      <c r="BO426" s="161"/>
      <c r="BP426" s="161"/>
      <c r="BQ426" s="161"/>
      <c r="BR426" s="161"/>
      <c r="BS426" s="161"/>
      <c r="BT426" s="161"/>
      <c r="BU426" s="161"/>
      <c r="BV426" s="161"/>
      <c r="BW426" s="161"/>
      <c r="BX426" s="161"/>
      <c r="BY426" s="161"/>
      <c r="BZ426" s="161"/>
      <c r="CA426" s="161"/>
      <c r="CB426" s="161"/>
      <c r="CC426" s="161"/>
      <c r="CD426" s="161"/>
      <c r="CE426" s="161"/>
      <c r="CF426" s="161"/>
      <c r="CG426" s="161"/>
      <c r="CH426" s="161"/>
      <c r="CI426" s="161"/>
      <c r="CJ426" s="161"/>
      <c r="CK426" s="161"/>
      <c r="CL426" s="161"/>
      <c r="CM426" s="161"/>
      <c r="CN426" s="161"/>
      <c r="CO426" s="161"/>
      <c r="CP426" s="161"/>
      <c r="CQ426" s="161"/>
      <c r="CR426" s="161"/>
      <c r="CS426" s="161"/>
      <c r="CT426" s="161"/>
      <c r="CU426" s="161"/>
      <c r="CV426" s="161"/>
      <c r="CW426" s="161"/>
      <c r="CX426" s="161"/>
      <c r="CY426" s="161"/>
      <c r="CZ426" s="161"/>
      <c r="DA426" s="161"/>
      <c r="DB426" s="161"/>
      <c r="DC426" s="161"/>
      <c r="DD426" s="161"/>
      <c r="DE426" s="161"/>
      <c r="DF426" s="161"/>
      <c r="DG426" s="161"/>
      <c r="DH426" s="161"/>
      <c r="DI426" s="161"/>
      <c r="DJ426" s="161"/>
      <c r="DK426" s="161"/>
      <c r="DL426" s="161"/>
      <c r="DM426" s="161"/>
      <c r="DN426" s="161"/>
      <c r="DO426" s="161"/>
      <c r="DP426" s="161"/>
      <c r="DQ426" s="161"/>
      <c r="DR426" s="161"/>
      <c r="DS426" s="161"/>
      <c r="DT426" s="161"/>
      <c r="DU426" s="161"/>
      <c r="DV426" s="161"/>
      <c r="DW426" s="161"/>
      <c r="DX426" s="161"/>
      <c r="DY426" s="161"/>
      <c r="DZ426" s="161"/>
      <c r="EA426" s="161"/>
      <c r="EB426" s="174"/>
    </row>
    <row r="427" spans="67:132">
      <c r="BO427" s="161"/>
      <c r="BP427" s="161"/>
      <c r="BQ427" s="161"/>
      <c r="BR427" s="161"/>
      <c r="BS427" s="161"/>
      <c r="BT427" s="161"/>
      <c r="BU427" s="161"/>
      <c r="BV427" s="161"/>
      <c r="BW427" s="161"/>
      <c r="BX427" s="161"/>
      <c r="BY427" s="161"/>
      <c r="BZ427" s="161"/>
      <c r="CA427" s="161"/>
      <c r="CB427" s="161"/>
      <c r="CC427" s="161"/>
      <c r="CD427" s="161"/>
      <c r="CE427" s="161"/>
      <c r="CF427" s="161"/>
      <c r="CG427" s="161"/>
      <c r="CH427" s="161"/>
      <c r="CI427" s="161"/>
      <c r="CJ427" s="161"/>
      <c r="CK427" s="161"/>
      <c r="CL427" s="161"/>
      <c r="CM427" s="161"/>
      <c r="CN427" s="161"/>
      <c r="CO427" s="161"/>
      <c r="CP427" s="161"/>
      <c r="CQ427" s="161"/>
      <c r="CR427" s="161"/>
      <c r="CS427" s="161"/>
      <c r="CT427" s="161"/>
      <c r="CU427" s="161"/>
      <c r="CV427" s="161"/>
      <c r="CW427" s="161"/>
      <c r="CX427" s="161"/>
      <c r="CY427" s="161"/>
      <c r="CZ427" s="161"/>
      <c r="DA427" s="161"/>
      <c r="DB427" s="161"/>
      <c r="DC427" s="161"/>
      <c r="DD427" s="161"/>
      <c r="DE427" s="161"/>
      <c r="DF427" s="161"/>
      <c r="DG427" s="161"/>
      <c r="DH427" s="161"/>
      <c r="DI427" s="161"/>
      <c r="DJ427" s="161"/>
      <c r="DK427" s="161"/>
      <c r="DL427" s="161"/>
      <c r="DM427" s="161"/>
      <c r="DN427" s="161"/>
      <c r="DO427" s="161"/>
      <c r="DP427" s="161"/>
      <c r="DQ427" s="161"/>
      <c r="DR427" s="161"/>
      <c r="DS427" s="161"/>
      <c r="DT427" s="161"/>
      <c r="DU427" s="161"/>
      <c r="DV427" s="161"/>
      <c r="DW427" s="161"/>
      <c r="DX427" s="161"/>
      <c r="DY427" s="161"/>
      <c r="DZ427" s="161"/>
      <c r="EA427" s="161"/>
      <c r="EB427" s="174"/>
    </row>
    <row r="428" spans="67:132">
      <c r="BO428" s="161"/>
      <c r="BP428" s="161"/>
      <c r="BQ428" s="161"/>
      <c r="BR428" s="161"/>
      <c r="BS428" s="161"/>
      <c r="BT428" s="161"/>
      <c r="BU428" s="161"/>
      <c r="BV428" s="161"/>
      <c r="BW428" s="161"/>
      <c r="BX428" s="161"/>
      <c r="BY428" s="161"/>
      <c r="BZ428" s="161"/>
      <c r="CA428" s="161"/>
      <c r="CB428" s="161"/>
      <c r="CC428" s="161"/>
      <c r="CD428" s="161"/>
      <c r="CE428" s="161"/>
      <c r="CF428" s="161"/>
      <c r="CG428" s="161"/>
      <c r="CH428" s="161"/>
      <c r="CI428" s="161"/>
      <c r="CJ428" s="161"/>
      <c r="CK428" s="161"/>
      <c r="CL428" s="161"/>
      <c r="CM428" s="161"/>
      <c r="CN428" s="161"/>
      <c r="CO428" s="161"/>
      <c r="CP428" s="161"/>
      <c r="CQ428" s="161"/>
      <c r="CR428" s="161"/>
      <c r="CS428" s="161"/>
      <c r="CT428" s="161"/>
      <c r="CU428" s="161"/>
      <c r="CV428" s="161"/>
      <c r="CW428" s="161"/>
      <c r="CX428" s="161"/>
      <c r="CY428" s="161"/>
      <c r="CZ428" s="161"/>
      <c r="DA428" s="161"/>
      <c r="DB428" s="161"/>
      <c r="DC428" s="161"/>
      <c r="DD428" s="161"/>
      <c r="DE428" s="161"/>
      <c r="DF428" s="161"/>
      <c r="DG428" s="161"/>
      <c r="DH428" s="161"/>
      <c r="DI428" s="161"/>
      <c r="DJ428" s="161"/>
      <c r="DK428" s="161"/>
      <c r="DL428" s="161"/>
      <c r="DM428" s="161"/>
      <c r="DN428" s="161"/>
      <c r="DO428" s="161"/>
      <c r="DP428" s="161"/>
      <c r="DQ428" s="161"/>
      <c r="DR428" s="161"/>
      <c r="DS428" s="161"/>
      <c r="DT428" s="161"/>
      <c r="DU428" s="161"/>
      <c r="DV428" s="161"/>
      <c r="DW428" s="161"/>
      <c r="DX428" s="161"/>
      <c r="DY428" s="161"/>
      <c r="DZ428" s="161"/>
      <c r="EA428" s="161"/>
      <c r="EB428" s="174"/>
    </row>
  </sheetData>
  <sheetProtection sheet="1" objects="1" scenarios="1"/>
  <mergeCells count="21">
    <mergeCell ref="BO1:EB1"/>
    <mergeCell ref="CA5:CB5"/>
    <mergeCell ref="DL5:DR5"/>
    <mergeCell ref="CY5:DE5"/>
    <mergeCell ref="BY5:BZ5"/>
    <mergeCell ref="DI5:DJ5"/>
    <mergeCell ref="DV5:DZ5"/>
    <mergeCell ref="CI5:CN5"/>
    <mergeCell ref="CV5:CW5"/>
    <mergeCell ref="EC5:FP5"/>
    <mergeCell ref="K5:L5"/>
    <mergeCell ref="AJ5:AK5"/>
    <mergeCell ref="AL5:AM5"/>
    <mergeCell ref="CF5:CG5"/>
    <mergeCell ref="BO5:BP5"/>
    <mergeCell ref="AN5:BG5"/>
    <mergeCell ref="H3:L3"/>
    <mergeCell ref="Q5:R5"/>
    <mergeCell ref="CT5:CU5"/>
    <mergeCell ref="DG5:DH5"/>
    <mergeCell ref="CD5:CE5"/>
  </mergeCells>
  <phoneticPr fontId="0" type="noConversion"/>
  <conditionalFormatting sqref="AT7:AT8 BA7:BA8 BD7:BD8 BG7:BG8 AN7:AN8 AW7:AW8 AQ7:AQ8">
    <cfRule type="cellIs" dxfId="6" priority="1" stopIfTrue="1" operator="notEqual">
      <formula>AO7</formula>
    </cfRule>
  </conditionalFormatting>
  <conditionalFormatting sqref="AP7:AP8 BC7:BC8 AV7:AV8 AS7:AS8 AY7:AY8 BI7:BI8 BF7:BF8">
    <cfRule type="cellIs" dxfId="5" priority="2" stopIfTrue="1" operator="notBetween">
      <formula>0</formula>
      <formula>1000000</formula>
    </cfRule>
  </conditionalFormatting>
  <conditionalFormatting sqref="AR7:AR8 AU7:AU8 BE7:BE8 AX7:AX8 BB7:BB8 BH7:BH8 AO7:AO8">
    <cfRule type="cellIs" dxfId="4" priority="3" stopIfTrue="1" operator="equal">
      <formula>"N"</formula>
    </cfRule>
  </conditionalFormatting>
  <conditionalFormatting sqref="B3">
    <cfRule type="cellIs" dxfId="3" priority="4" stopIfTrue="1" operator="notEqual">
      <formula>MAX(GPM)</formula>
    </cfRule>
  </conditionalFormatting>
  <conditionalFormatting sqref="R7:R8 L7:L8">
    <cfRule type="cellIs" dxfId="2" priority="5" stopIfTrue="1" operator="equal">
      <formula>"YES"</formula>
    </cfRule>
  </conditionalFormatting>
  <conditionalFormatting sqref="G7:H8">
    <cfRule type="cellIs" dxfId="1" priority="6" stopIfTrue="1" operator="equal">
      <formula>$F$100</formula>
    </cfRule>
  </conditionalFormatting>
  <conditionalFormatting sqref="F7:F8">
    <cfRule type="cellIs" dxfId="0" priority="7" stopIfTrue="1" operator="equal">
      <formula>$F$100</formula>
    </cfRule>
  </conditionalFormatting>
  <dataValidations count="5">
    <dataValidation type="list" allowBlank="1" showInputMessage="1" showErrorMessage="1" sqref="AG7:AG8">
      <formula1>$AG$100:$AG$105</formula1>
    </dataValidation>
    <dataValidation type="list" allowBlank="1" showInputMessage="1" showErrorMessage="1" sqref="Q7:Q8">
      <formula1>$Q$100:$Q$101</formula1>
    </dataValidation>
    <dataValidation type="list" showInputMessage="1" showErrorMessage="1" sqref="K7:K8">
      <formula1>$K$100:$K$101</formula1>
    </dataValidation>
    <dataValidation type="list" allowBlank="1" showInputMessage="1" showErrorMessage="1" sqref="F7:F8">
      <formula1>$F$100:$F$121</formula1>
    </dataValidation>
    <dataValidation type="list" showInputMessage="1" showErrorMessage="1" errorTitle="Invalid input" error="Please enter either &quot;CRITICAL&quot; or &quot;NON-CRITICAL&quot;." sqref="H3:L3">
      <formula1>$S$3:$T$3</formula1>
    </dataValidation>
  </dataValidations>
  <pageMargins left="0.75" right="0.75" top="1" bottom="1" header="0.5" footer="0.5"/>
  <pageSetup paperSize="5" scale="24" orientation="landscape" horizontalDpi="4294967292" r:id="rId1"/>
  <headerFooter alignWithMargins="0"/>
  <ignoredErrors>
    <ignoredError sqref="BG6 AN6 BD6 AT6 AZ6:BA6 AW6 AL6:AM6" unlockedFormula="1"/>
  </ignoredErrors>
  <legacyDrawing r:id="rId2"/>
  <controls>
    <control shapeId="16942" r:id="rId3" name="cmdClear"/>
    <control shapeId="16941" r:id="rId4" name="cmdOptimize"/>
  </controls>
</worksheet>
</file>

<file path=xl/worksheets/sheet5.xml><?xml version="1.0" encoding="utf-8"?>
<worksheet xmlns="http://schemas.openxmlformats.org/spreadsheetml/2006/main" xmlns:r="http://schemas.openxmlformats.org/officeDocument/2006/relationships">
  <sheetPr codeName="Sheet2"/>
  <dimension ref="A2:AU257"/>
  <sheetViews>
    <sheetView zoomScale="70" zoomScaleNormal="70" workbookViewId="0">
      <pane xSplit="2" topLeftCell="C1" activePane="topRight" state="frozen"/>
      <selection activeCell="A59" sqref="A59"/>
      <selection pane="topRight"/>
    </sheetView>
  </sheetViews>
  <sheetFormatPr defaultRowHeight="12.75"/>
  <cols>
    <col min="2" max="2" width="13.85546875" style="1" customWidth="1"/>
    <col min="3" max="3" width="11.85546875" customWidth="1"/>
    <col min="5" max="5" width="10.28515625" customWidth="1"/>
    <col min="6" max="6" width="10.7109375" customWidth="1"/>
    <col min="7" max="7" width="10.5703125" bestFit="1" customWidth="1"/>
    <col min="8" max="8" width="11" customWidth="1"/>
    <col min="9" max="9" width="11.5703125" bestFit="1" customWidth="1"/>
    <col min="10" max="10" width="12.28515625" customWidth="1"/>
    <col min="11" max="11" width="12.5703125" customWidth="1"/>
    <col min="12" max="12" width="10.42578125" bestFit="1" customWidth="1"/>
    <col min="13" max="13" width="13.42578125" customWidth="1"/>
    <col min="14" max="14" width="10.7109375" customWidth="1"/>
    <col min="15" max="15" width="11.7109375" customWidth="1"/>
    <col min="16" max="17" width="10.5703125" bestFit="1" customWidth="1"/>
    <col min="18" max="18" width="11.140625" customWidth="1"/>
    <col min="19" max="19" width="11.5703125" bestFit="1" customWidth="1"/>
    <col min="20" max="20" width="10.85546875" customWidth="1"/>
    <col min="21" max="21" width="11.28515625" customWidth="1"/>
    <col min="22" max="22" width="10.85546875" bestFit="1" customWidth="1"/>
    <col min="23" max="23" width="11.28515625" bestFit="1" customWidth="1"/>
    <col min="24" max="24" width="10.28515625" customWidth="1"/>
    <col min="25" max="25" width="11.85546875" bestFit="1" customWidth="1"/>
    <col min="26" max="27" width="11.28515625" bestFit="1" customWidth="1"/>
    <col min="28" max="28" width="10.28515625" bestFit="1" customWidth="1"/>
    <col min="29" max="30" width="12" bestFit="1" customWidth="1"/>
    <col min="31" max="31" width="11.28515625" bestFit="1" customWidth="1"/>
    <col min="32" max="32" width="11.140625" customWidth="1"/>
    <col min="33" max="33" width="10.7109375" customWidth="1"/>
    <col min="34" max="34" width="10.5703125" customWidth="1"/>
    <col min="35" max="35" width="12" customWidth="1"/>
    <col min="36" max="36" width="11.140625" customWidth="1"/>
  </cols>
  <sheetData>
    <row r="2" spans="2:29">
      <c r="B2" s="295"/>
      <c r="C2" t="s">
        <v>259</v>
      </c>
    </row>
    <row r="3" spans="2:29">
      <c r="B3" s="296"/>
      <c r="C3" t="s">
        <v>235</v>
      </c>
    </row>
    <row r="4" spans="2:29">
      <c r="B4" s="416" t="s">
        <v>293</v>
      </c>
      <c r="C4" t="s">
        <v>294</v>
      </c>
    </row>
    <row r="6" spans="2:29">
      <c r="B6" s="48" t="s">
        <v>98</v>
      </c>
      <c r="G6" s="13"/>
      <c r="H6" s="13"/>
      <c r="I6" s="13"/>
    </row>
    <row r="7" spans="2:29" ht="13.5" thickBot="1">
      <c r="B7" s="48"/>
      <c r="G7" s="13"/>
      <c r="H7" s="13"/>
      <c r="I7" s="13"/>
    </row>
    <row r="8" spans="2:29" ht="13.5" thickBot="1">
      <c r="B8" s="517" t="s">
        <v>12</v>
      </c>
      <c r="C8" s="518"/>
      <c r="D8" s="518"/>
      <c r="E8" s="518"/>
      <c r="F8" s="519"/>
      <c r="G8" s="327"/>
      <c r="H8" s="327"/>
      <c r="I8" s="522" t="s">
        <v>5</v>
      </c>
      <c r="J8" s="523"/>
      <c r="K8" s="523"/>
      <c r="L8" s="523"/>
      <c r="M8" s="523"/>
      <c r="N8" s="523"/>
      <c r="O8" s="523"/>
      <c r="P8" s="523"/>
      <c r="Q8" s="524"/>
      <c r="R8" s="327"/>
      <c r="S8" s="327"/>
      <c r="T8" s="237"/>
      <c r="U8" s="522" t="s">
        <v>7</v>
      </c>
      <c r="V8" s="523"/>
      <c r="W8" s="524"/>
      <c r="X8" s="328"/>
      <c r="Y8" s="517" t="s">
        <v>47</v>
      </c>
      <c r="Z8" s="518"/>
      <c r="AA8" s="518"/>
      <c r="AB8" s="519"/>
      <c r="AC8" s="45"/>
    </row>
    <row r="9" spans="2:29" ht="38.25">
      <c r="B9" s="526" t="s">
        <v>0</v>
      </c>
      <c r="C9" s="523" t="s">
        <v>2</v>
      </c>
      <c r="D9" s="523"/>
      <c r="E9" s="523" t="s">
        <v>3</v>
      </c>
      <c r="F9" s="524"/>
      <c r="G9" s="13"/>
      <c r="H9" s="12"/>
      <c r="I9" s="520" t="s">
        <v>0</v>
      </c>
      <c r="J9" s="512" t="s">
        <v>108</v>
      </c>
      <c r="K9" s="512"/>
      <c r="L9" s="512"/>
      <c r="M9" s="512"/>
      <c r="N9" s="512"/>
      <c r="O9" s="512"/>
      <c r="P9" s="512"/>
      <c r="Q9" s="88" t="s">
        <v>107</v>
      </c>
      <c r="R9" s="12"/>
      <c r="S9" s="12"/>
      <c r="T9" s="13"/>
      <c r="U9" s="51" t="s">
        <v>8</v>
      </c>
      <c r="V9" s="512" t="s">
        <v>9</v>
      </c>
      <c r="W9" s="521"/>
      <c r="X9" s="13"/>
      <c r="Y9" s="44" t="s">
        <v>41</v>
      </c>
      <c r="Z9" s="45" t="s">
        <v>40</v>
      </c>
      <c r="AA9" s="42" t="s">
        <v>44</v>
      </c>
      <c r="AB9" s="28" t="s">
        <v>39</v>
      </c>
      <c r="AC9" s="247"/>
    </row>
    <row r="10" spans="2:29" ht="39" thickBot="1">
      <c r="B10" s="527"/>
      <c r="C10" s="2">
        <v>90</v>
      </c>
      <c r="D10" s="2">
        <v>45</v>
      </c>
      <c r="E10" s="3" t="s">
        <v>49</v>
      </c>
      <c r="F10" s="4" t="s">
        <v>29</v>
      </c>
      <c r="G10" s="13"/>
      <c r="H10" s="80"/>
      <c r="I10" s="520"/>
      <c r="J10" s="83" t="s">
        <v>105</v>
      </c>
      <c r="K10" s="83" t="s">
        <v>97</v>
      </c>
      <c r="L10" s="83" t="s">
        <v>86</v>
      </c>
      <c r="M10" s="83" t="s">
        <v>27</v>
      </c>
      <c r="N10" s="83" t="s">
        <v>28</v>
      </c>
      <c r="O10" s="83" t="s">
        <v>104</v>
      </c>
      <c r="P10" s="83" t="s">
        <v>106</v>
      </c>
      <c r="Q10" s="84" t="s">
        <v>116</v>
      </c>
      <c r="R10" s="80"/>
      <c r="S10" s="80"/>
      <c r="T10" s="13"/>
      <c r="U10" s="68"/>
      <c r="V10" s="69" t="s">
        <v>23</v>
      </c>
      <c r="W10" s="70" t="s">
        <v>114</v>
      </c>
      <c r="X10" s="13"/>
      <c r="Y10" s="39">
        <f t="shared" ref="Y10:Y15" si="0">AA10^3</f>
        <v>27</v>
      </c>
      <c r="Z10" s="46">
        <f t="shared" ref="Z10:Z15" si="1">AA10^2</f>
        <v>9</v>
      </c>
      <c r="AA10" s="39">
        <v>3</v>
      </c>
      <c r="AB10" s="29">
        <f>1/0.05</f>
        <v>20</v>
      </c>
      <c r="AC10" s="247"/>
    </row>
    <row r="11" spans="2:29" ht="13.5" thickTop="1">
      <c r="B11" s="10">
        <v>0.5</v>
      </c>
      <c r="C11" s="470">
        <v>0.47</v>
      </c>
      <c r="D11" s="204">
        <v>0.25</v>
      </c>
      <c r="E11" s="204">
        <v>0.28999999999999998</v>
      </c>
      <c r="F11" s="372">
        <v>1.1000000000000001</v>
      </c>
      <c r="G11" s="13"/>
      <c r="H11" s="80"/>
      <c r="I11" s="15">
        <v>0.5</v>
      </c>
      <c r="J11" s="52">
        <v>1.7</v>
      </c>
      <c r="K11" s="52">
        <v>6.86</v>
      </c>
      <c r="L11" s="52">
        <v>4.8</v>
      </c>
      <c r="M11" s="52">
        <v>5</v>
      </c>
      <c r="N11" s="86">
        <v>999999999</v>
      </c>
      <c r="O11" s="208">
        <f>TREND(($O$16:$O$24)^(1/3),$I$16:$I$24,I11)^3</f>
        <v>25.897726955252686</v>
      </c>
      <c r="P11" s="86">
        <v>999999999</v>
      </c>
      <c r="Q11" s="85">
        <v>7.4</v>
      </c>
      <c r="R11" s="80"/>
      <c r="S11" s="80"/>
      <c r="T11" s="13"/>
      <c r="U11" s="15">
        <v>0.5</v>
      </c>
      <c r="V11" s="71">
        <v>0.54500000000000004</v>
      </c>
      <c r="W11" s="5">
        <v>0.622</v>
      </c>
      <c r="X11" s="76"/>
      <c r="Y11" s="39">
        <f t="shared" si="0"/>
        <v>0.85737499999999989</v>
      </c>
      <c r="Z11" s="46">
        <f t="shared" si="1"/>
        <v>0.90249999999999997</v>
      </c>
      <c r="AA11" s="39">
        <v>0.95</v>
      </c>
      <c r="AB11" s="29">
        <f>1/0.015</f>
        <v>66.666666666666671</v>
      </c>
      <c r="AC11" s="247"/>
    </row>
    <row r="12" spans="2:29">
      <c r="B12" s="10">
        <v>0.75</v>
      </c>
      <c r="C12" s="470">
        <v>0.45</v>
      </c>
      <c r="D12" s="204">
        <v>0.24</v>
      </c>
      <c r="E12" s="204">
        <v>0.28000000000000003</v>
      </c>
      <c r="F12" s="372">
        <v>1.05</v>
      </c>
      <c r="G12" s="13"/>
      <c r="H12" s="80"/>
      <c r="I12" s="15">
        <v>0.75</v>
      </c>
      <c r="J12" s="52">
        <v>2.7</v>
      </c>
      <c r="K12" s="52">
        <v>16.3</v>
      </c>
      <c r="L12" s="52">
        <v>14.3</v>
      </c>
      <c r="M12" s="52">
        <v>12</v>
      </c>
      <c r="N12" s="86">
        <v>999999999</v>
      </c>
      <c r="O12" s="208">
        <f>TREND(($O$16:$O$24)^(1/3),$I$16:$I$24,I12)^3</f>
        <v>32.792617041558884</v>
      </c>
      <c r="P12" s="86">
        <v>999999999</v>
      </c>
      <c r="Q12" s="85">
        <v>7.4</v>
      </c>
      <c r="R12" s="80"/>
      <c r="S12" s="80"/>
      <c r="T12" s="13"/>
      <c r="U12" s="15">
        <v>0.75</v>
      </c>
      <c r="V12" s="71">
        <v>0.78500000000000003</v>
      </c>
      <c r="W12" s="5">
        <v>0.82399999999999995</v>
      </c>
      <c r="X12" s="76"/>
      <c r="Y12" s="39">
        <f t="shared" si="0"/>
        <v>474552</v>
      </c>
      <c r="Z12" s="46">
        <f t="shared" si="1"/>
        <v>6084</v>
      </c>
      <c r="AA12" s="39">
        <v>78</v>
      </c>
      <c r="AB12" s="29">
        <f>1/0.002</f>
        <v>500</v>
      </c>
      <c r="AC12" s="247"/>
    </row>
    <row r="13" spans="2:29">
      <c r="B13" s="10">
        <v>1</v>
      </c>
      <c r="C13" s="8">
        <v>0.43</v>
      </c>
      <c r="D13" s="2">
        <v>0.22</v>
      </c>
      <c r="E13" s="2">
        <v>0.26</v>
      </c>
      <c r="F13" s="5">
        <v>1</v>
      </c>
      <c r="G13" s="13"/>
      <c r="H13" s="80"/>
      <c r="I13" s="15">
        <v>1</v>
      </c>
      <c r="J13" s="52">
        <v>5.8</v>
      </c>
      <c r="K13" s="52">
        <v>30</v>
      </c>
      <c r="L13" s="52">
        <v>24</v>
      </c>
      <c r="M13" s="52">
        <v>22</v>
      </c>
      <c r="N13" s="86">
        <v>999999999</v>
      </c>
      <c r="O13" s="208">
        <f>TREND(($O$16:$O$24)^(1/3),$I$16:$I$24,I13)^3</f>
        <v>40.814026761410744</v>
      </c>
      <c r="P13" s="86">
        <v>999999999</v>
      </c>
      <c r="Q13" s="85">
        <v>7.4</v>
      </c>
      <c r="R13" s="80"/>
      <c r="S13" s="80"/>
      <c r="T13" s="13"/>
      <c r="U13" s="15">
        <v>1</v>
      </c>
      <c r="V13" s="71">
        <v>1.0249999999999999</v>
      </c>
      <c r="W13" s="5">
        <v>1.0489999999999999</v>
      </c>
      <c r="X13" s="76"/>
      <c r="Y13" s="39">
        <f t="shared" si="0"/>
        <v>85184000</v>
      </c>
      <c r="Z13" s="46">
        <f t="shared" si="1"/>
        <v>193600</v>
      </c>
      <c r="AA13" s="39">
        <v>440</v>
      </c>
      <c r="AB13" s="29">
        <f>1/0.0004</f>
        <v>2500</v>
      </c>
      <c r="AC13" s="247"/>
    </row>
    <row r="14" spans="2:29">
      <c r="B14" s="10">
        <v>1.25</v>
      </c>
      <c r="C14" s="8">
        <v>0.41</v>
      </c>
      <c r="D14" s="2">
        <v>0.22</v>
      </c>
      <c r="E14" s="2">
        <v>0.25</v>
      </c>
      <c r="F14" s="5">
        <v>0.95</v>
      </c>
      <c r="G14" s="13"/>
      <c r="H14" s="80"/>
      <c r="I14" s="15">
        <v>1.25</v>
      </c>
      <c r="J14" s="52">
        <v>11</v>
      </c>
      <c r="K14" s="52">
        <v>49</v>
      </c>
      <c r="L14" s="52">
        <v>43</v>
      </c>
      <c r="M14" s="52">
        <v>35</v>
      </c>
      <c r="N14" s="86">
        <v>999999999</v>
      </c>
      <c r="O14" s="208">
        <f>TREND(($O$16:$O$24)^(1/3),$I$16:$I$24,I14)^3</f>
        <v>50.047196319514065</v>
      </c>
      <c r="P14" s="86">
        <v>999999999</v>
      </c>
      <c r="Q14" s="85">
        <v>7.4</v>
      </c>
      <c r="R14" s="80"/>
      <c r="S14" s="80"/>
      <c r="T14" s="13"/>
      <c r="U14" s="15">
        <v>1.25</v>
      </c>
      <c r="V14" s="71">
        <v>1.2649999999999999</v>
      </c>
      <c r="W14" s="5">
        <v>1.38</v>
      </c>
      <c r="X14" s="76"/>
      <c r="Y14" s="39">
        <f t="shared" si="0"/>
        <v>9261000000</v>
      </c>
      <c r="Z14" s="46">
        <f t="shared" si="1"/>
        <v>4410000</v>
      </c>
      <c r="AA14" s="39">
        <v>2100</v>
      </c>
      <c r="AB14" s="29">
        <f>1/0.0001</f>
        <v>10000</v>
      </c>
      <c r="AC14" s="247"/>
    </row>
    <row r="15" spans="2:29" ht="13.5" thickBot="1">
      <c r="B15" s="10">
        <v>1.5</v>
      </c>
      <c r="C15" s="8">
        <v>0.4</v>
      </c>
      <c r="D15" s="2">
        <v>0.21</v>
      </c>
      <c r="E15" s="2">
        <v>0.23</v>
      </c>
      <c r="F15" s="5">
        <v>0.9</v>
      </c>
      <c r="G15" s="13"/>
      <c r="H15" s="80"/>
      <c r="I15" s="15">
        <v>1.5</v>
      </c>
      <c r="J15" s="52">
        <v>20</v>
      </c>
      <c r="K15" s="52">
        <v>72</v>
      </c>
      <c r="L15" s="52">
        <v>60</v>
      </c>
      <c r="M15" s="52">
        <v>52</v>
      </c>
      <c r="N15" s="86">
        <v>999999999</v>
      </c>
      <c r="O15" s="208">
        <f>TREND(($O$16:$O$24)^(1/3),$I$16:$I$24,I15)^3</f>
        <v>60.577365920574607</v>
      </c>
      <c r="P15" s="86">
        <v>999999999</v>
      </c>
      <c r="Q15" s="85">
        <v>7.4</v>
      </c>
      <c r="R15" s="80"/>
      <c r="S15" s="80"/>
      <c r="T15" s="13"/>
      <c r="U15" s="15">
        <v>1.5</v>
      </c>
      <c r="V15" s="71">
        <v>1.5049999999999999</v>
      </c>
      <c r="W15" s="5">
        <v>1.61</v>
      </c>
      <c r="X15" s="76"/>
      <c r="Y15" s="40">
        <f t="shared" si="0"/>
        <v>97336000000</v>
      </c>
      <c r="Z15" s="41">
        <f t="shared" si="1"/>
        <v>21160000</v>
      </c>
      <c r="AA15" s="40">
        <f>46000000/10000</f>
        <v>4600</v>
      </c>
      <c r="AB15" s="43">
        <f>1/0.00005</f>
        <v>20000</v>
      </c>
      <c r="AC15" s="247"/>
    </row>
    <row r="16" spans="2:29">
      <c r="B16" s="10">
        <v>2</v>
      </c>
      <c r="C16" s="8">
        <v>0.38</v>
      </c>
      <c r="D16" s="2">
        <v>0.2</v>
      </c>
      <c r="E16" s="2">
        <v>0.2</v>
      </c>
      <c r="F16" s="5">
        <v>0.84</v>
      </c>
      <c r="G16" s="13"/>
      <c r="H16" s="80"/>
      <c r="I16" s="15">
        <v>2</v>
      </c>
      <c r="J16" s="52">
        <v>40</v>
      </c>
      <c r="K16" s="52">
        <v>130</v>
      </c>
      <c r="L16" s="52">
        <v>102</v>
      </c>
      <c r="M16" s="52">
        <v>95</v>
      </c>
      <c r="N16" s="52">
        <v>166</v>
      </c>
      <c r="O16" s="204">
        <v>72</v>
      </c>
      <c r="P16" s="204">
        <v>55</v>
      </c>
      <c r="Q16" s="85">
        <v>7.4</v>
      </c>
      <c r="R16" s="80"/>
      <c r="S16" s="80"/>
      <c r="T16" s="13"/>
      <c r="U16" s="15">
        <v>2</v>
      </c>
      <c r="V16" s="71">
        <v>1.9850000000000001</v>
      </c>
      <c r="W16" s="5">
        <v>2.0670000000000002</v>
      </c>
      <c r="X16" s="76"/>
      <c r="Y16" s="13"/>
      <c r="Z16" s="13"/>
      <c r="AA16" s="13"/>
      <c r="AB16" s="13"/>
      <c r="AC16" s="247"/>
    </row>
    <row r="17" spans="1:47">
      <c r="B17" s="10">
        <v>2.5</v>
      </c>
      <c r="C17" s="8">
        <v>0.35</v>
      </c>
      <c r="D17" s="2">
        <v>0.19</v>
      </c>
      <c r="E17" s="2">
        <v>0.18</v>
      </c>
      <c r="F17" s="5">
        <v>0.79</v>
      </c>
      <c r="G17" s="13"/>
      <c r="H17" s="80"/>
      <c r="I17" s="15">
        <v>2.5</v>
      </c>
      <c r="J17" s="52">
        <v>62</v>
      </c>
      <c r="K17" s="52">
        <v>110</v>
      </c>
      <c r="L17" s="52">
        <v>221</v>
      </c>
      <c r="M17" s="86">
        <v>999999999</v>
      </c>
      <c r="N17" s="52">
        <v>247</v>
      </c>
      <c r="O17" s="52">
        <v>111</v>
      </c>
      <c r="P17" s="52">
        <v>90</v>
      </c>
      <c r="Q17" s="85">
        <v>7.4</v>
      </c>
      <c r="R17" s="80"/>
      <c r="S17" s="80"/>
      <c r="T17" s="13"/>
      <c r="U17" s="15">
        <v>2.5</v>
      </c>
      <c r="V17" s="71">
        <v>2.4649999999999999</v>
      </c>
      <c r="W17" s="5">
        <v>2.4689999999999999</v>
      </c>
      <c r="X17" s="76"/>
      <c r="Y17" s="13"/>
      <c r="Z17" s="13"/>
      <c r="AA17" s="13"/>
      <c r="AB17" s="13"/>
      <c r="AC17" s="247"/>
    </row>
    <row r="18" spans="1:47">
      <c r="B18" s="10">
        <v>3</v>
      </c>
      <c r="C18" s="8">
        <v>0.34</v>
      </c>
      <c r="D18" s="2">
        <v>0.18</v>
      </c>
      <c r="E18" s="2">
        <v>0.17</v>
      </c>
      <c r="F18" s="5">
        <v>0.76</v>
      </c>
      <c r="G18" s="13"/>
      <c r="H18" s="80"/>
      <c r="I18" s="15">
        <v>3</v>
      </c>
      <c r="J18" s="52">
        <v>110</v>
      </c>
      <c r="K18" s="52">
        <v>155</v>
      </c>
      <c r="L18" s="52">
        <v>327</v>
      </c>
      <c r="M18" s="86">
        <v>999999999</v>
      </c>
      <c r="N18" s="52">
        <v>340</v>
      </c>
      <c r="O18" s="52">
        <v>164</v>
      </c>
      <c r="P18" s="52">
        <v>110</v>
      </c>
      <c r="Q18" s="85">
        <v>7.4</v>
      </c>
      <c r="R18" s="80"/>
      <c r="S18" s="80"/>
      <c r="T18" s="13"/>
      <c r="U18" s="15">
        <v>3</v>
      </c>
      <c r="V18" s="2">
        <v>2.9449999999999998</v>
      </c>
      <c r="W18" s="5">
        <v>3.0680000000000001</v>
      </c>
      <c r="X18" s="76"/>
      <c r="Y18" s="80"/>
      <c r="Z18" s="80"/>
      <c r="AA18" s="80"/>
      <c r="AB18" s="80"/>
      <c r="AC18" s="329"/>
      <c r="AD18" s="80"/>
    </row>
    <row r="19" spans="1:47" ht="13.5" thickBot="1">
      <c r="B19" s="11">
        <v>4</v>
      </c>
      <c r="C19" s="9">
        <v>0.31</v>
      </c>
      <c r="D19" s="6">
        <v>0.18</v>
      </c>
      <c r="E19" s="6">
        <v>0.15</v>
      </c>
      <c r="F19" s="7">
        <v>0.7</v>
      </c>
      <c r="G19" s="80"/>
      <c r="H19" s="80"/>
      <c r="I19" s="54">
        <v>4</v>
      </c>
      <c r="J19" s="52">
        <v>220</v>
      </c>
      <c r="K19" s="52">
        <v>278</v>
      </c>
      <c r="L19" s="52">
        <v>605</v>
      </c>
      <c r="M19" s="86">
        <v>999999999</v>
      </c>
      <c r="N19" s="52">
        <v>660</v>
      </c>
      <c r="O19" s="52">
        <v>285</v>
      </c>
      <c r="P19" s="52">
        <v>200</v>
      </c>
      <c r="Q19" s="85">
        <v>7.4</v>
      </c>
      <c r="R19" s="80"/>
      <c r="S19" s="80"/>
      <c r="T19" s="13"/>
      <c r="U19" s="15">
        <v>4</v>
      </c>
      <c r="V19" s="2">
        <v>3.9049999999999998</v>
      </c>
      <c r="W19" s="5">
        <v>4.0259999999999998</v>
      </c>
      <c r="X19" s="76"/>
      <c r="Y19" s="80"/>
      <c r="Z19" s="80"/>
      <c r="AA19" s="80"/>
      <c r="AB19" s="80"/>
      <c r="AC19" s="329"/>
      <c r="AD19" s="80"/>
    </row>
    <row r="20" spans="1:47" ht="13.5" thickBot="1">
      <c r="A20" s="13"/>
      <c r="B20" s="330"/>
      <c r="C20" s="12"/>
      <c r="D20" s="12"/>
      <c r="E20" s="12"/>
      <c r="F20" s="12"/>
      <c r="G20" s="80"/>
      <c r="H20" s="80"/>
      <c r="I20" s="54">
        <v>5</v>
      </c>
      <c r="J20" s="52">
        <v>420</v>
      </c>
      <c r="K20" s="52">
        <v>431</v>
      </c>
      <c r="L20" s="52">
        <v>975</v>
      </c>
      <c r="M20" s="86">
        <v>999999999</v>
      </c>
      <c r="N20" s="52">
        <v>1080</v>
      </c>
      <c r="O20" s="52">
        <v>410</v>
      </c>
      <c r="P20" s="52">
        <v>350</v>
      </c>
      <c r="Q20" s="85">
        <v>7.4</v>
      </c>
      <c r="R20" s="80"/>
      <c r="S20" s="80"/>
      <c r="T20" s="13"/>
      <c r="U20" s="15">
        <v>5</v>
      </c>
      <c r="V20" s="2">
        <v>4.875</v>
      </c>
      <c r="W20" s="5">
        <v>5.0469999999999997</v>
      </c>
      <c r="X20" s="76"/>
      <c r="Y20" s="80"/>
      <c r="Z20" s="80"/>
      <c r="AA20" s="80"/>
      <c r="AB20" s="80"/>
      <c r="AC20" s="331"/>
      <c r="AD20" s="80"/>
    </row>
    <row r="21" spans="1:47">
      <c r="A21" s="13"/>
      <c r="B21" s="522" t="s">
        <v>11</v>
      </c>
      <c r="C21" s="523"/>
      <c r="D21" s="523"/>
      <c r="E21" s="523"/>
      <c r="F21" s="524"/>
      <c r="G21" s="80"/>
      <c r="H21" s="80"/>
      <c r="I21" s="54">
        <v>6</v>
      </c>
      <c r="J21" s="52">
        <v>650</v>
      </c>
      <c r="K21" s="52">
        <v>625</v>
      </c>
      <c r="L21" s="52">
        <v>1440</v>
      </c>
      <c r="M21" s="86">
        <v>999999999</v>
      </c>
      <c r="N21" s="52">
        <v>1613</v>
      </c>
      <c r="O21" s="52">
        <v>597</v>
      </c>
      <c r="P21" s="52">
        <v>520</v>
      </c>
      <c r="Q21" s="85">
        <v>7.4</v>
      </c>
      <c r="R21" s="80"/>
      <c r="S21" s="80"/>
      <c r="T21" s="13"/>
      <c r="U21" s="15">
        <v>6</v>
      </c>
      <c r="V21" s="2">
        <v>5.8449999999999998</v>
      </c>
      <c r="W21" s="5">
        <v>6.0650000000000004</v>
      </c>
      <c r="X21" s="76"/>
      <c r="Y21" s="80"/>
      <c r="Z21" s="80"/>
      <c r="AA21" s="80"/>
      <c r="AB21" s="80"/>
      <c r="AC21" s="329"/>
      <c r="AD21" s="80"/>
    </row>
    <row r="22" spans="1:47">
      <c r="A22" s="13"/>
      <c r="B22" s="520" t="s">
        <v>0</v>
      </c>
      <c r="C22" s="512" t="s">
        <v>2</v>
      </c>
      <c r="D22" s="512"/>
      <c r="E22" s="512" t="s">
        <v>3</v>
      </c>
      <c r="F22" s="521"/>
      <c r="G22" s="80"/>
      <c r="H22" s="80"/>
      <c r="I22" s="54">
        <v>8</v>
      </c>
      <c r="J22" s="52">
        <v>875</v>
      </c>
      <c r="K22" s="52">
        <v>1115</v>
      </c>
      <c r="L22" s="52">
        <v>2670</v>
      </c>
      <c r="M22" s="86">
        <v>999999999</v>
      </c>
      <c r="N22" s="52">
        <v>3759</v>
      </c>
      <c r="O22" s="52">
        <v>1000</v>
      </c>
      <c r="P22" s="52">
        <v>760</v>
      </c>
      <c r="Q22" s="85">
        <v>7.4</v>
      </c>
      <c r="R22" s="80"/>
      <c r="S22" s="80"/>
      <c r="T22" s="13"/>
      <c r="U22" s="15">
        <v>8</v>
      </c>
      <c r="V22" s="2">
        <v>7.7249999999999996</v>
      </c>
      <c r="W22" s="5">
        <v>7.9809999999999999</v>
      </c>
      <c r="X22" s="76"/>
      <c r="Y22" s="264"/>
      <c r="Z22" s="264"/>
      <c r="AA22" s="264"/>
      <c r="AB22" s="80"/>
      <c r="AC22" s="329"/>
      <c r="AD22" s="80"/>
    </row>
    <row r="23" spans="1:47">
      <c r="A23" s="13"/>
      <c r="B23" s="520"/>
      <c r="C23" s="2">
        <v>90</v>
      </c>
      <c r="D23" s="2">
        <v>45</v>
      </c>
      <c r="E23" s="2" t="s">
        <v>49</v>
      </c>
      <c r="F23" s="5" t="s">
        <v>4</v>
      </c>
      <c r="G23" s="80"/>
      <c r="H23" s="80"/>
      <c r="I23" s="54">
        <v>10</v>
      </c>
      <c r="J23" s="52">
        <v>1200</v>
      </c>
      <c r="K23" s="52">
        <v>1770</v>
      </c>
      <c r="L23" s="52">
        <v>4300</v>
      </c>
      <c r="M23" s="86">
        <v>999999999</v>
      </c>
      <c r="N23" s="52">
        <v>5300</v>
      </c>
      <c r="O23" s="52">
        <v>1800</v>
      </c>
      <c r="P23" s="52">
        <v>1000</v>
      </c>
      <c r="Q23" s="85">
        <v>7.4</v>
      </c>
      <c r="R23" s="80"/>
      <c r="S23" s="80"/>
      <c r="T23" s="13"/>
      <c r="U23" s="15">
        <v>10</v>
      </c>
      <c r="V23" s="2">
        <v>9.625</v>
      </c>
      <c r="W23" s="5">
        <v>10.02</v>
      </c>
      <c r="X23" s="76"/>
      <c r="Y23" s="80"/>
      <c r="Z23" s="80"/>
      <c r="AA23" s="80"/>
      <c r="AB23" s="80"/>
      <c r="AC23" s="329"/>
      <c r="AD23" s="80"/>
    </row>
    <row r="24" spans="1:47">
      <c r="B24" s="15">
        <v>1</v>
      </c>
      <c r="C24" s="2">
        <v>0.43</v>
      </c>
      <c r="D24" s="2">
        <v>0.22</v>
      </c>
      <c r="E24" s="2">
        <v>0.26</v>
      </c>
      <c r="F24" s="5">
        <v>1</v>
      </c>
      <c r="G24" s="80"/>
      <c r="H24" s="80"/>
      <c r="I24" s="54">
        <v>12</v>
      </c>
      <c r="J24" s="52">
        <v>2250</v>
      </c>
      <c r="K24" s="52">
        <v>2500</v>
      </c>
      <c r="L24" s="52">
        <v>6350</v>
      </c>
      <c r="M24" s="86">
        <v>999999999</v>
      </c>
      <c r="N24" s="52">
        <v>7969</v>
      </c>
      <c r="O24" s="52">
        <v>2800</v>
      </c>
      <c r="P24" s="86">
        <v>999999999</v>
      </c>
      <c r="Q24" s="85">
        <v>7.4</v>
      </c>
      <c r="R24" s="80"/>
      <c r="S24" s="80"/>
      <c r="T24" s="13"/>
      <c r="U24" s="15">
        <v>12</v>
      </c>
      <c r="V24" s="2">
        <v>11.565</v>
      </c>
      <c r="W24" s="5">
        <v>12</v>
      </c>
      <c r="X24" s="76"/>
      <c r="Y24" s="80"/>
      <c r="Z24" s="80"/>
      <c r="AA24" s="80"/>
      <c r="AB24" s="80"/>
      <c r="AC24" s="329"/>
      <c r="AD24" s="80"/>
    </row>
    <row r="25" spans="1:47">
      <c r="B25" s="15">
        <v>1.25</v>
      </c>
      <c r="C25" s="2">
        <v>0.41</v>
      </c>
      <c r="D25" s="2">
        <v>0.22</v>
      </c>
      <c r="E25" s="2">
        <v>0.25</v>
      </c>
      <c r="F25" s="5">
        <v>0.95</v>
      </c>
      <c r="G25" s="80"/>
      <c r="H25" s="80"/>
      <c r="I25" s="54">
        <v>14</v>
      </c>
      <c r="J25" s="86">
        <v>999999999</v>
      </c>
      <c r="K25" s="52">
        <v>3400</v>
      </c>
      <c r="L25" s="204">
        <v>8600</v>
      </c>
      <c r="M25" s="86">
        <v>999999999</v>
      </c>
      <c r="N25" s="52">
        <v>11917</v>
      </c>
      <c r="O25" s="208">
        <f>ROUND(TREND(($O$16:$O$24)^(1/3),$I$16:$I$24,I25)^3,-1)</f>
        <v>4120</v>
      </c>
      <c r="P25" s="86">
        <v>999999999</v>
      </c>
      <c r="Q25" s="85">
        <v>7.4</v>
      </c>
      <c r="R25" s="80"/>
      <c r="S25" s="80"/>
      <c r="T25" s="13"/>
      <c r="U25" s="54">
        <v>14</v>
      </c>
      <c r="V25" s="82"/>
      <c r="W25" s="81">
        <v>13.25</v>
      </c>
      <c r="X25" s="76"/>
      <c r="Y25" s="13"/>
      <c r="Z25" s="13"/>
      <c r="AA25" s="13"/>
      <c r="AB25" s="13"/>
      <c r="AC25" s="247"/>
    </row>
    <row r="26" spans="1:47">
      <c r="B26" s="15">
        <v>1.5</v>
      </c>
      <c r="C26" s="2">
        <v>0.4</v>
      </c>
      <c r="D26" s="2">
        <v>0.21</v>
      </c>
      <c r="E26" s="2">
        <v>0.23</v>
      </c>
      <c r="F26" s="5">
        <v>0.9</v>
      </c>
      <c r="G26" s="12"/>
      <c r="H26" s="80"/>
      <c r="I26" s="54">
        <v>16</v>
      </c>
      <c r="J26" s="86">
        <v>999999999</v>
      </c>
      <c r="K26" s="52">
        <v>4400</v>
      </c>
      <c r="L26" s="204">
        <v>11400</v>
      </c>
      <c r="M26" s="86">
        <v>999999999</v>
      </c>
      <c r="N26" s="52">
        <v>16383</v>
      </c>
      <c r="O26" s="208">
        <f t="shared" ref="O26:O31" si="2">ROUND(TREND(($O$16:$O$24)^(1/3),$I$16:$I$24,I26)^3,-1)</f>
        <v>5810</v>
      </c>
      <c r="P26" s="86">
        <v>999999999</v>
      </c>
      <c r="Q26" s="85">
        <v>7.4</v>
      </c>
      <c r="R26" s="80"/>
      <c r="S26" s="80"/>
      <c r="T26" s="13"/>
      <c r="U26" s="54">
        <v>16</v>
      </c>
      <c r="V26" s="82"/>
      <c r="W26" s="81">
        <v>15.25</v>
      </c>
      <c r="X26" s="76"/>
      <c r="Y26" s="13"/>
      <c r="Z26" s="13"/>
      <c r="AA26" s="13"/>
      <c r="AB26" s="13"/>
      <c r="AC26" s="247"/>
    </row>
    <row r="27" spans="1:47">
      <c r="B27" s="15">
        <v>2</v>
      </c>
      <c r="C27" s="2">
        <v>0.38</v>
      </c>
      <c r="D27" s="2">
        <v>0.2</v>
      </c>
      <c r="E27" s="2">
        <v>0.2</v>
      </c>
      <c r="F27" s="5">
        <v>0.84</v>
      </c>
      <c r="G27" s="469"/>
      <c r="H27" s="80"/>
      <c r="I27" s="54">
        <v>18</v>
      </c>
      <c r="J27" s="86">
        <v>999999999</v>
      </c>
      <c r="K27" s="52">
        <v>5600</v>
      </c>
      <c r="L27" s="204">
        <v>14700</v>
      </c>
      <c r="M27" s="86">
        <v>999999999</v>
      </c>
      <c r="N27" s="52">
        <v>21705</v>
      </c>
      <c r="O27" s="208">
        <f t="shared" si="2"/>
        <v>7900</v>
      </c>
      <c r="P27" s="86">
        <v>999999999</v>
      </c>
      <c r="Q27" s="85">
        <v>7.4</v>
      </c>
      <c r="R27" s="80"/>
      <c r="S27" s="80"/>
      <c r="T27" s="13"/>
      <c r="U27" s="54">
        <v>18</v>
      </c>
      <c r="V27" s="82"/>
      <c r="W27" s="81">
        <v>17.25</v>
      </c>
      <c r="X27" s="76"/>
      <c r="Y27" s="13"/>
      <c r="Z27" s="13"/>
      <c r="AA27" s="13"/>
      <c r="AB27" s="13"/>
      <c r="AC27" s="247"/>
    </row>
    <row r="28" spans="1:47">
      <c r="B28" s="15">
        <v>2.5</v>
      </c>
      <c r="C28" s="2">
        <v>0.35</v>
      </c>
      <c r="D28" s="2">
        <v>0.19</v>
      </c>
      <c r="E28" s="2">
        <v>0.18</v>
      </c>
      <c r="F28" s="5">
        <v>0.79</v>
      </c>
      <c r="G28" s="12"/>
      <c r="H28" s="80"/>
      <c r="I28" s="54">
        <v>20</v>
      </c>
      <c r="J28" s="86">
        <v>999999999</v>
      </c>
      <c r="K28" s="52">
        <v>6900</v>
      </c>
      <c r="L28" s="204">
        <v>18100</v>
      </c>
      <c r="M28" s="86">
        <v>999999999</v>
      </c>
      <c r="N28" s="52">
        <v>27908</v>
      </c>
      <c r="O28" s="208">
        <f t="shared" si="2"/>
        <v>10430</v>
      </c>
      <c r="P28" s="86">
        <v>999999999</v>
      </c>
      <c r="Q28" s="85">
        <v>7.4</v>
      </c>
      <c r="R28" s="80"/>
      <c r="S28" s="80"/>
      <c r="T28" s="13"/>
      <c r="U28" s="54">
        <v>20</v>
      </c>
      <c r="V28" s="82"/>
      <c r="W28" s="81">
        <v>19.25</v>
      </c>
      <c r="X28" s="76"/>
      <c r="Y28" s="13"/>
      <c r="Z28" s="13"/>
      <c r="AA28" s="13"/>
      <c r="AB28" s="13"/>
      <c r="AC28" s="247"/>
      <c r="AI28" s="13"/>
      <c r="AJ28" s="13"/>
      <c r="AK28" s="132"/>
      <c r="AL28" s="132"/>
      <c r="AM28" s="132"/>
      <c r="AN28" s="132"/>
      <c r="AO28" s="13"/>
      <c r="AP28" s="13"/>
      <c r="AQ28" s="13"/>
      <c r="AR28" s="132"/>
      <c r="AS28" s="132"/>
      <c r="AT28" s="132"/>
      <c r="AU28" s="132"/>
    </row>
    <row r="29" spans="1:47">
      <c r="B29" s="15">
        <v>3</v>
      </c>
      <c r="C29" s="2">
        <v>0.34</v>
      </c>
      <c r="D29" s="2">
        <v>0.18</v>
      </c>
      <c r="E29" s="2">
        <v>0.17</v>
      </c>
      <c r="F29" s="5">
        <v>0.76</v>
      </c>
      <c r="G29" s="12"/>
      <c r="H29" s="80"/>
      <c r="I29" s="54">
        <v>24</v>
      </c>
      <c r="J29" s="86">
        <v>999999999</v>
      </c>
      <c r="K29" s="52">
        <v>10000</v>
      </c>
      <c r="L29" s="204">
        <v>26800</v>
      </c>
      <c r="M29" s="86">
        <v>999999999</v>
      </c>
      <c r="N29" s="52">
        <v>43116</v>
      </c>
      <c r="O29" s="208">
        <f t="shared" si="2"/>
        <v>17020</v>
      </c>
      <c r="P29" s="86">
        <v>999999999</v>
      </c>
      <c r="Q29" s="85">
        <v>7.4</v>
      </c>
      <c r="R29" s="80"/>
      <c r="S29" s="80"/>
      <c r="T29" s="13"/>
      <c r="U29" s="54">
        <v>24</v>
      </c>
      <c r="V29" s="82"/>
      <c r="W29" s="81">
        <v>23.25</v>
      </c>
      <c r="X29" s="76"/>
      <c r="Y29" s="13"/>
      <c r="Z29" s="13"/>
      <c r="AA29" s="13"/>
      <c r="AB29" s="13"/>
      <c r="AC29" s="247"/>
      <c r="AI29" s="13"/>
      <c r="AJ29" s="13"/>
      <c r="AK29" s="13"/>
      <c r="AL29" s="13"/>
      <c r="AM29" s="13"/>
      <c r="AN29" s="13"/>
      <c r="AO29" s="13"/>
      <c r="AP29" s="13"/>
      <c r="AQ29" s="13"/>
      <c r="AR29" s="13"/>
      <c r="AS29" s="13"/>
      <c r="AT29" s="13"/>
      <c r="AU29" s="13"/>
    </row>
    <row r="30" spans="1:47">
      <c r="B30" s="54">
        <v>4</v>
      </c>
      <c r="C30" s="2">
        <v>0.31</v>
      </c>
      <c r="D30" s="2">
        <v>0.18</v>
      </c>
      <c r="E30" s="2">
        <v>0.15</v>
      </c>
      <c r="F30" s="5">
        <v>0.7</v>
      </c>
      <c r="G30" s="13"/>
      <c r="H30" s="80"/>
      <c r="I30" s="54">
        <v>26</v>
      </c>
      <c r="J30" s="86">
        <v>999999999</v>
      </c>
      <c r="K30" s="52">
        <v>15400</v>
      </c>
      <c r="L30" s="204">
        <v>31000</v>
      </c>
      <c r="M30" s="86">
        <v>999999999</v>
      </c>
      <c r="N30" s="52">
        <v>60922</v>
      </c>
      <c r="O30" s="208">
        <f t="shared" si="2"/>
        <v>21170</v>
      </c>
      <c r="P30" s="86">
        <v>999999999</v>
      </c>
      <c r="Q30" s="86">
        <v>999999999</v>
      </c>
      <c r="R30" s="80"/>
      <c r="S30" s="80"/>
      <c r="T30" s="13"/>
      <c r="U30" s="54">
        <v>26</v>
      </c>
      <c r="V30" s="82"/>
      <c r="W30" s="81">
        <v>25.25</v>
      </c>
      <c r="X30" s="76"/>
      <c r="Y30" s="13"/>
      <c r="Z30" s="13"/>
      <c r="AA30" s="13"/>
      <c r="AB30" s="13"/>
      <c r="AC30" s="247"/>
    </row>
    <row r="31" spans="1:47" ht="13.5" thickBot="1">
      <c r="B31" s="54">
        <v>5</v>
      </c>
      <c r="C31" s="52">
        <v>0.3</v>
      </c>
      <c r="D31" s="52">
        <v>0.17</v>
      </c>
      <c r="E31" s="52">
        <v>0.13</v>
      </c>
      <c r="F31" s="85">
        <v>0.66</v>
      </c>
      <c r="G31" s="13"/>
      <c r="H31" s="80"/>
      <c r="I31" s="55">
        <v>30</v>
      </c>
      <c r="J31" s="87">
        <v>999999999</v>
      </c>
      <c r="K31" s="92">
        <v>22400</v>
      </c>
      <c r="L31" s="263">
        <v>42000</v>
      </c>
      <c r="M31" s="87">
        <v>999999999</v>
      </c>
      <c r="N31" s="92">
        <v>86375</v>
      </c>
      <c r="O31" s="208">
        <f t="shared" si="2"/>
        <v>31370</v>
      </c>
      <c r="P31" s="87">
        <v>999999999</v>
      </c>
      <c r="Q31" s="86">
        <v>999999999</v>
      </c>
      <c r="R31" s="80"/>
      <c r="S31" s="80"/>
      <c r="T31" s="13"/>
      <c r="U31" s="72">
        <v>30</v>
      </c>
      <c r="V31" s="91"/>
      <c r="W31" s="94">
        <v>29.25</v>
      </c>
      <c r="X31" s="76"/>
      <c r="Y31" s="13"/>
      <c r="Z31" s="13"/>
      <c r="AA31" s="13"/>
      <c r="AB31" s="13"/>
      <c r="AC31" s="247"/>
    </row>
    <row r="32" spans="1:47" ht="14.25" thickBot="1">
      <c r="B32" s="54">
        <v>6</v>
      </c>
      <c r="C32" s="2">
        <v>0.28999999999999998</v>
      </c>
      <c r="D32" s="2">
        <v>0.17</v>
      </c>
      <c r="E32" s="2">
        <v>0.12</v>
      </c>
      <c r="F32" s="5">
        <v>0.62</v>
      </c>
      <c r="G32" s="13"/>
      <c r="H32" s="13"/>
      <c r="I32" s="13"/>
      <c r="J32" s="13"/>
      <c r="K32" s="13"/>
      <c r="L32" s="13"/>
      <c r="M32" s="13"/>
      <c r="N32" s="13"/>
      <c r="O32" s="13"/>
      <c r="P32" s="13"/>
      <c r="Q32" s="13"/>
      <c r="R32" s="13"/>
      <c r="S32" s="13"/>
      <c r="T32" s="13"/>
      <c r="U32" s="22" t="s">
        <v>20</v>
      </c>
      <c r="V32" s="23">
        <v>5.0000000000000004E-6</v>
      </c>
      <c r="W32" s="24">
        <v>1.4999999999999999E-4</v>
      </c>
      <c r="X32" s="76" t="s">
        <v>121</v>
      </c>
      <c r="Y32" s="13"/>
      <c r="Z32" s="13"/>
      <c r="AA32" s="13"/>
      <c r="AB32" s="13"/>
      <c r="AC32" s="247"/>
    </row>
    <row r="33" spans="2:29" ht="27" thickBot="1">
      <c r="B33" s="54">
        <v>8</v>
      </c>
      <c r="C33" s="2">
        <v>0.27</v>
      </c>
      <c r="D33" s="2">
        <v>0.17</v>
      </c>
      <c r="E33" s="2">
        <v>0.1</v>
      </c>
      <c r="F33" s="5">
        <v>0.57999999999999996</v>
      </c>
      <c r="G33" s="13"/>
      <c r="H33" s="32" t="s">
        <v>33</v>
      </c>
      <c r="I33" s="17" t="s">
        <v>34</v>
      </c>
      <c r="J33" s="17" t="s">
        <v>35</v>
      </c>
      <c r="K33" s="17" t="s">
        <v>36</v>
      </c>
      <c r="L33" s="13"/>
      <c r="M33" s="13"/>
      <c r="N33" s="13"/>
      <c r="O33" s="13"/>
      <c r="P33" s="13"/>
      <c r="Q33" s="13"/>
      <c r="R33" s="13"/>
      <c r="S33" s="13"/>
      <c r="T33" s="13"/>
      <c r="U33" s="13"/>
      <c r="V33" s="13"/>
      <c r="W33" s="13"/>
      <c r="X33" s="13"/>
      <c r="Y33" s="13"/>
      <c r="Z33" s="13"/>
      <c r="AA33" s="13"/>
      <c r="AB33" s="13"/>
      <c r="AC33" s="247"/>
    </row>
    <row r="34" spans="2:29" ht="28.5">
      <c r="B34" s="54">
        <v>10</v>
      </c>
      <c r="C34" s="2">
        <v>0.25</v>
      </c>
      <c r="D34" s="2">
        <v>0.16</v>
      </c>
      <c r="E34" s="2">
        <v>0.09</v>
      </c>
      <c r="F34" s="5">
        <v>0.53</v>
      </c>
      <c r="G34" s="13"/>
      <c r="H34" s="33" t="s">
        <v>37</v>
      </c>
      <c r="I34" s="30">
        <v>1.0069999999999999</v>
      </c>
      <c r="J34" s="31">
        <v>0.998</v>
      </c>
      <c r="K34" s="34">
        <v>1.0069999999999999</v>
      </c>
      <c r="L34" s="13"/>
      <c r="M34" s="13"/>
      <c r="N34" s="13"/>
      <c r="O34" s="13"/>
      <c r="P34" s="13"/>
      <c r="Q34" s="13"/>
      <c r="R34" s="13"/>
      <c r="S34" s="13"/>
      <c r="T34" s="13"/>
      <c r="U34" s="13"/>
      <c r="V34" s="13"/>
      <c r="W34" s="13"/>
      <c r="X34" s="13"/>
      <c r="Y34" s="13"/>
      <c r="Z34" s="13"/>
      <c r="AA34" s="13"/>
      <c r="AB34" s="13"/>
      <c r="AC34" s="247"/>
    </row>
    <row r="35" spans="2:29" ht="15.6" customHeight="1" thickBot="1">
      <c r="B35" s="54">
        <v>12</v>
      </c>
      <c r="C35" s="2">
        <v>0.24</v>
      </c>
      <c r="D35" s="2">
        <v>0.16</v>
      </c>
      <c r="E35" s="2">
        <v>0.09</v>
      </c>
      <c r="F35" s="5">
        <v>0.5</v>
      </c>
      <c r="G35" s="13"/>
      <c r="H35" s="35" t="s">
        <v>38</v>
      </c>
      <c r="I35" s="36">
        <v>1.6E-2</v>
      </c>
      <c r="J35" s="37">
        <v>1.61E-2</v>
      </c>
      <c r="K35" s="38">
        <v>1.67E-2</v>
      </c>
      <c r="L35" s="13"/>
      <c r="M35" s="13"/>
      <c r="N35" s="13"/>
      <c r="O35" s="13"/>
      <c r="P35" s="13"/>
      <c r="Q35" s="13"/>
      <c r="R35" s="13"/>
      <c r="S35" s="13"/>
      <c r="T35" s="13"/>
      <c r="U35" s="13"/>
      <c r="V35" s="13"/>
      <c r="W35" s="13"/>
      <c r="X35" s="13"/>
      <c r="Y35" s="13"/>
      <c r="Z35" s="13"/>
      <c r="AA35" s="13"/>
      <c r="AB35" s="13"/>
      <c r="AC35" s="247"/>
    </row>
    <row r="36" spans="2:29" ht="13.5" thickBot="1">
      <c r="B36" s="54">
        <v>14</v>
      </c>
      <c r="C36" s="204">
        <v>0.23</v>
      </c>
      <c r="D36" s="204">
        <v>0.15</v>
      </c>
      <c r="E36" s="204">
        <v>0.08</v>
      </c>
      <c r="F36" s="372">
        <v>0.5</v>
      </c>
      <c r="G36" s="12"/>
      <c r="H36" s="12"/>
      <c r="I36" s="13"/>
      <c r="J36" s="13"/>
      <c r="K36" s="13"/>
      <c r="L36" s="13"/>
      <c r="M36" s="13"/>
      <c r="N36" s="13"/>
      <c r="O36" s="13"/>
      <c r="P36" s="13"/>
      <c r="Q36" s="13"/>
      <c r="R36" s="13"/>
      <c r="S36" s="13"/>
      <c r="T36" s="13"/>
      <c r="U36" s="13"/>
      <c r="V36" s="13"/>
      <c r="W36" s="13"/>
      <c r="X36" s="13"/>
      <c r="Y36" s="13"/>
      <c r="Z36" s="13"/>
      <c r="AA36" s="13"/>
      <c r="AB36" s="13"/>
      <c r="AC36" s="247"/>
    </row>
    <row r="37" spans="2:29" ht="13.5" thickBot="1">
      <c r="B37" s="54">
        <v>16</v>
      </c>
      <c r="C37" s="204">
        <v>0.23</v>
      </c>
      <c r="D37" s="204">
        <v>0.15</v>
      </c>
      <c r="E37" s="204">
        <v>0.08</v>
      </c>
      <c r="F37" s="372">
        <v>0.47</v>
      </c>
      <c r="G37" s="12"/>
      <c r="H37" s="16" t="s">
        <v>17</v>
      </c>
      <c r="I37" s="17" t="s">
        <v>18</v>
      </c>
      <c r="J37" s="17" t="s">
        <v>19</v>
      </c>
      <c r="K37" s="17" t="s">
        <v>16</v>
      </c>
      <c r="L37" s="13"/>
      <c r="M37" s="13"/>
      <c r="N37" s="13"/>
      <c r="O37" s="13"/>
      <c r="P37" s="13"/>
      <c r="Q37" s="13"/>
      <c r="R37" s="13"/>
      <c r="S37" s="13"/>
      <c r="T37" s="13"/>
      <c r="U37" s="13"/>
      <c r="V37" s="13"/>
      <c r="W37" s="13"/>
      <c r="X37" s="13"/>
      <c r="Y37" s="13"/>
      <c r="Z37" s="13"/>
      <c r="AA37" s="13"/>
      <c r="AB37" s="13"/>
      <c r="AC37" s="247"/>
    </row>
    <row r="38" spans="2:29" ht="13.5">
      <c r="B38" s="54">
        <v>18</v>
      </c>
      <c r="C38" s="204">
        <v>0.22</v>
      </c>
      <c r="D38" s="204">
        <v>0.14000000000000001</v>
      </c>
      <c r="E38" s="204">
        <v>7.0000000000000007E-2</v>
      </c>
      <c r="F38" s="372">
        <v>0.44</v>
      </c>
      <c r="G38" s="12"/>
      <c r="H38" s="20">
        <f>J38^3</f>
        <v>64000</v>
      </c>
      <c r="I38" s="21">
        <f>J38^2</f>
        <v>1600</v>
      </c>
      <c r="J38" s="20">
        <v>40</v>
      </c>
      <c r="K38" s="25">
        <v>1.66E-5</v>
      </c>
      <c r="L38" s="13"/>
      <c r="M38" s="13"/>
      <c r="N38" s="13"/>
      <c r="O38" s="13"/>
      <c r="P38" s="13"/>
      <c r="Q38" s="13"/>
      <c r="R38" s="13"/>
      <c r="S38" s="13"/>
      <c r="T38" s="13"/>
      <c r="U38" s="13"/>
      <c r="V38" s="13"/>
      <c r="W38" s="13"/>
      <c r="X38" s="13"/>
      <c r="Y38" s="13"/>
      <c r="Z38" s="13"/>
      <c r="AA38" s="13"/>
      <c r="AB38" s="13"/>
      <c r="AC38" s="247"/>
    </row>
    <row r="39" spans="2:29" ht="13.5">
      <c r="B39" s="54">
        <v>20</v>
      </c>
      <c r="C39" s="204">
        <v>0.22</v>
      </c>
      <c r="D39" s="204">
        <v>0.14000000000000001</v>
      </c>
      <c r="E39" s="204">
        <v>7.0000000000000007E-2</v>
      </c>
      <c r="F39" s="372">
        <v>0.42</v>
      </c>
      <c r="G39" s="12"/>
      <c r="H39" s="20">
        <f t="shared" ref="H39:H47" si="3">J39^3</f>
        <v>125000</v>
      </c>
      <c r="I39" s="21">
        <f t="shared" ref="I39:I47" si="4">J39^2</f>
        <v>2500</v>
      </c>
      <c r="J39" s="18">
        <v>50</v>
      </c>
      <c r="K39" s="26">
        <v>1.4100000000000001E-5</v>
      </c>
      <c r="L39" s="13"/>
      <c r="M39" s="13"/>
      <c r="N39" s="13"/>
      <c r="O39" s="13"/>
      <c r="P39" s="13"/>
      <c r="Q39" s="13"/>
      <c r="R39" s="13"/>
      <c r="S39" s="13"/>
      <c r="T39" s="13"/>
      <c r="U39" s="13"/>
      <c r="V39" s="13"/>
      <c r="W39" s="13"/>
      <c r="X39" s="13"/>
      <c r="Y39" s="13"/>
      <c r="Z39" s="13"/>
      <c r="AA39" s="13"/>
      <c r="AB39" s="13"/>
      <c r="AC39" s="247"/>
    </row>
    <row r="40" spans="2:29" ht="13.5">
      <c r="B40" s="54">
        <v>24</v>
      </c>
      <c r="C40" s="204">
        <v>0.21</v>
      </c>
      <c r="D40" s="204">
        <v>0.13</v>
      </c>
      <c r="E40" s="204">
        <v>0.06</v>
      </c>
      <c r="F40" s="204">
        <v>0.41</v>
      </c>
      <c r="G40" s="12"/>
      <c r="H40" s="20">
        <f t="shared" si="3"/>
        <v>343000</v>
      </c>
      <c r="I40" s="21">
        <f t="shared" si="4"/>
        <v>4900</v>
      </c>
      <c r="J40" s="18">
        <v>70</v>
      </c>
      <c r="K40" s="26">
        <v>1.06E-5</v>
      </c>
      <c r="L40" s="13"/>
      <c r="M40" s="13"/>
      <c r="N40" s="13"/>
      <c r="O40" s="13"/>
      <c r="P40" s="13"/>
      <c r="Q40" s="13"/>
      <c r="R40" s="13"/>
      <c r="S40" s="13"/>
      <c r="T40" s="13"/>
      <c r="U40" s="13"/>
      <c r="V40" s="13"/>
      <c r="W40" s="13"/>
      <c r="X40" s="13"/>
      <c r="Y40" s="13"/>
      <c r="Z40" s="13"/>
      <c r="AA40" s="13"/>
      <c r="AB40" s="13"/>
      <c r="AC40" s="247"/>
    </row>
    <row r="41" spans="2:29" ht="13.5">
      <c r="B41" s="54">
        <v>26</v>
      </c>
      <c r="C41" s="204">
        <v>0.21</v>
      </c>
      <c r="D41" s="204">
        <v>0.13</v>
      </c>
      <c r="E41" s="204">
        <v>0.06</v>
      </c>
      <c r="F41" s="204">
        <v>0.4</v>
      </c>
      <c r="G41" s="12"/>
      <c r="H41" s="20">
        <f t="shared" si="3"/>
        <v>729000</v>
      </c>
      <c r="I41" s="21">
        <f t="shared" si="4"/>
        <v>8100</v>
      </c>
      <c r="J41" s="18">
        <v>90</v>
      </c>
      <c r="K41" s="26">
        <v>8.2600000000000005E-6</v>
      </c>
      <c r="L41" s="13"/>
      <c r="M41" s="13"/>
      <c r="N41" s="13"/>
      <c r="O41" s="13"/>
      <c r="P41" s="13"/>
      <c r="Q41" s="13"/>
      <c r="R41" s="13"/>
      <c r="S41" s="13"/>
      <c r="T41" s="13"/>
      <c r="U41" s="13"/>
      <c r="V41" s="13"/>
      <c r="W41" s="13"/>
      <c r="X41" s="13"/>
      <c r="Y41" s="13"/>
      <c r="Z41" s="13"/>
      <c r="AA41" s="13"/>
      <c r="AB41" s="13"/>
      <c r="AC41" s="247"/>
    </row>
    <row r="42" spans="2:29" ht="14.25" thickBot="1">
      <c r="B42" s="55">
        <v>30</v>
      </c>
      <c r="C42" s="204">
        <v>0.2</v>
      </c>
      <c r="D42" s="204">
        <v>0.12</v>
      </c>
      <c r="E42" s="204">
        <v>0.05</v>
      </c>
      <c r="F42" s="204">
        <v>0.39</v>
      </c>
      <c r="G42" s="12"/>
      <c r="H42" s="20">
        <f t="shared" si="3"/>
        <v>1331000</v>
      </c>
      <c r="I42" s="21">
        <f t="shared" si="4"/>
        <v>12100</v>
      </c>
      <c r="J42" s="18">
        <v>110</v>
      </c>
      <c r="K42" s="26">
        <v>6.6699999999999997E-6</v>
      </c>
      <c r="L42" s="13"/>
      <c r="M42" s="13"/>
      <c r="N42" s="13"/>
      <c r="O42" s="13"/>
      <c r="P42" s="13"/>
      <c r="Q42" s="13"/>
      <c r="R42" s="13"/>
      <c r="S42" s="13"/>
      <c r="T42" s="13"/>
      <c r="U42" s="13"/>
      <c r="V42" s="13"/>
      <c r="W42" s="13"/>
      <c r="X42" s="13"/>
      <c r="Y42" s="13"/>
      <c r="Z42" s="13"/>
      <c r="AA42" s="13"/>
      <c r="AB42" s="13"/>
      <c r="AC42" s="247"/>
    </row>
    <row r="43" spans="2:29" ht="13.5">
      <c r="B43" s="332"/>
      <c r="C43" s="13"/>
      <c r="D43" s="13"/>
      <c r="E43" s="13"/>
      <c r="F43" s="13"/>
      <c r="G43" s="12"/>
      <c r="H43" s="20">
        <f t="shared" si="3"/>
        <v>2197000</v>
      </c>
      <c r="I43" s="21">
        <f t="shared" si="4"/>
        <v>16900</v>
      </c>
      <c r="J43" s="18">
        <v>130</v>
      </c>
      <c r="K43" s="26">
        <v>5.5799999999999999E-6</v>
      </c>
      <c r="L43" s="13"/>
      <c r="M43" s="13"/>
      <c r="N43" s="13"/>
      <c r="O43" s="13"/>
      <c r="P43" s="13"/>
      <c r="Q43" s="13"/>
      <c r="R43" s="13"/>
      <c r="S43" s="13"/>
      <c r="T43" s="13"/>
      <c r="U43" s="13"/>
      <c r="V43" s="13"/>
      <c r="W43" s="13"/>
      <c r="X43" s="13"/>
      <c r="Y43" s="13"/>
      <c r="Z43" s="13"/>
      <c r="AA43" s="13"/>
      <c r="AB43" s="13"/>
      <c r="AC43" s="247"/>
    </row>
    <row r="44" spans="2:29" ht="13.5">
      <c r="B44" s="246"/>
      <c r="C44" s="13"/>
      <c r="D44" s="13"/>
      <c r="E44" s="13"/>
      <c r="F44" s="13"/>
      <c r="G44" s="12"/>
      <c r="H44" s="20">
        <f t="shared" si="3"/>
        <v>3375000</v>
      </c>
      <c r="I44" s="21">
        <f t="shared" si="4"/>
        <v>22500</v>
      </c>
      <c r="J44" s="18">
        <v>150</v>
      </c>
      <c r="K44" s="26">
        <v>4.7600000000000002E-6</v>
      </c>
      <c r="L44" s="13"/>
      <c r="M44" s="13"/>
      <c r="N44" s="13"/>
      <c r="O44" s="13"/>
      <c r="P44" s="13"/>
      <c r="Q44" s="13"/>
      <c r="R44" s="13"/>
      <c r="S44" s="13"/>
      <c r="T44" s="13"/>
      <c r="U44" s="13"/>
      <c r="V44" s="13"/>
      <c r="W44" s="13"/>
      <c r="X44" s="13"/>
      <c r="Y44" s="13"/>
      <c r="Z44" s="13"/>
      <c r="AA44" s="13"/>
      <c r="AB44" s="13"/>
      <c r="AC44" s="247"/>
    </row>
    <row r="45" spans="2:29" ht="13.5">
      <c r="B45" s="246"/>
      <c r="C45" s="13"/>
      <c r="D45" s="13"/>
      <c r="E45" s="13"/>
      <c r="F45" s="13"/>
      <c r="G45" s="12"/>
      <c r="H45" s="20">
        <f t="shared" si="3"/>
        <v>4913000</v>
      </c>
      <c r="I45" s="21">
        <f t="shared" si="4"/>
        <v>28900</v>
      </c>
      <c r="J45" s="18">
        <v>170</v>
      </c>
      <c r="K45" s="26">
        <v>4.1300000000000003E-6</v>
      </c>
      <c r="L45" s="13"/>
      <c r="M45" s="13"/>
      <c r="N45" s="13"/>
      <c r="O45" s="13"/>
      <c r="P45" s="13"/>
      <c r="Q45" s="13"/>
      <c r="R45" s="13"/>
      <c r="S45" s="13"/>
      <c r="T45" s="13"/>
      <c r="U45" s="13"/>
      <c r="V45" s="13"/>
      <c r="W45" s="13"/>
      <c r="X45" s="13"/>
      <c r="Y45" s="13"/>
      <c r="Z45" s="13"/>
      <c r="AA45" s="13"/>
      <c r="AB45" s="13"/>
      <c r="AC45" s="247"/>
    </row>
    <row r="46" spans="2:29" ht="13.5">
      <c r="B46" s="246"/>
      <c r="C46" s="13"/>
      <c r="D46" s="13"/>
      <c r="E46" s="13"/>
      <c r="F46" s="13"/>
      <c r="G46" s="12"/>
      <c r="H46" s="20">
        <f t="shared" si="3"/>
        <v>6859000</v>
      </c>
      <c r="I46" s="21">
        <f t="shared" si="4"/>
        <v>36100</v>
      </c>
      <c r="J46" s="18">
        <v>190</v>
      </c>
      <c r="K46" s="26">
        <v>3.6200000000000001E-6</v>
      </c>
      <c r="L46" s="13"/>
      <c r="M46" s="13"/>
      <c r="N46" s="13"/>
      <c r="O46" s="13"/>
      <c r="P46" s="13"/>
      <c r="Q46" s="13"/>
      <c r="R46" s="13"/>
      <c r="S46" s="13"/>
      <c r="T46" s="13"/>
      <c r="U46" s="13"/>
      <c r="V46" s="13"/>
      <c r="W46" s="13"/>
      <c r="X46" s="13"/>
      <c r="Y46" s="13"/>
      <c r="Z46" s="13"/>
      <c r="AA46" s="13"/>
      <c r="AB46" s="13"/>
      <c r="AC46" s="247"/>
    </row>
    <row r="47" spans="2:29" ht="14.25" thickBot="1">
      <c r="B47" s="246"/>
      <c r="C47" s="13"/>
      <c r="D47" s="13"/>
      <c r="E47" s="13"/>
      <c r="F47" s="13"/>
      <c r="G47" s="12"/>
      <c r="H47" s="56">
        <f t="shared" si="3"/>
        <v>9528128</v>
      </c>
      <c r="I47" s="57">
        <f t="shared" si="4"/>
        <v>44944</v>
      </c>
      <c r="J47" s="19">
        <v>212</v>
      </c>
      <c r="K47" s="27">
        <v>3.19E-6</v>
      </c>
      <c r="L47" s="13"/>
      <c r="M47" s="13"/>
      <c r="N47" s="13"/>
      <c r="O47" s="13"/>
      <c r="P47" s="13"/>
      <c r="Q47" s="13"/>
      <c r="R47" s="13"/>
      <c r="S47" s="13"/>
      <c r="T47" s="13"/>
      <c r="U47" s="13"/>
      <c r="V47" s="13"/>
      <c r="W47" s="13"/>
      <c r="X47" s="13"/>
      <c r="Y47" s="13"/>
      <c r="Z47" s="13"/>
      <c r="AA47" s="13"/>
      <c r="AB47" s="13"/>
      <c r="AC47" s="247"/>
    </row>
    <row r="48" spans="2:29" ht="13.5" thickBot="1">
      <c r="B48" s="64"/>
      <c r="C48" s="248"/>
      <c r="D48" s="248"/>
      <c r="E48" s="248"/>
      <c r="F48" s="248"/>
      <c r="G48" s="274"/>
      <c r="H48" s="274"/>
      <c r="I48" s="274"/>
      <c r="J48" s="248"/>
      <c r="K48" s="248"/>
      <c r="L48" s="248"/>
      <c r="M48" s="248"/>
      <c r="N48" s="248"/>
      <c r="O48" s="248"/>
      <c r="P48" s="248"/>
      <c r="Q48" s="248"/>
      <c r="R48" s="248"/>
      <c r="S48" s="248"/>
      <c r="T48" s="248"/>
      <c r="U48" s="248"/>
      <c r="V48" s="248"/>
      <c r="W48" s="248"/>
      <c r="X48" s="248"/>
      <c r="Y48" s="248"/>
      <c r="Z48" s="248"/>
      <c r="AA48" s="248"/>
      <c r="AB48" s="248"/>
      <c r="AC48" s="65"/>
    </row>
    <row r="49" spans="1:36">
      <c r="D49" s="13"/>
      <c r="G49" s="12"/>
      <c r="H49" s="12"/>
      <c r="I49" s="12"/>
    </row>
    <row r="50" spans="1:36">
      <c r="A50" t="s">
        <v>295</v>
      </c>
      <c r="B50" s="48" t="s">
        <v>230</v>
      </c>
    </row>
    <row r="51" spans="1:36">
      <c r="A51" t="s">
        <v>140</v>
      </c>
      <c r="B51" s="14">
        <v>1</v>
      </c>
      <c r="C51" s="14">
        <v>2</v>
      </c>
      <c r="D51" s="14">
        <v>3</v>
      </c>
      <c r="E51" s="14">
        <v>4</v>
      </c>
      <c r="F51" s="14">
        <v>5</v>
      </c>
      <c r="G51" s="14">
        <v>6</v>
      </c>
      <c r="H51" s="14">
        <v>7</v>
      </c>
      <c r="I51" s="14">
        <v>8</v>
      </c>
      <c r="J51" s="14">
        <v>9</v>
      </c>
      <c r="K51" s="14">
        <v>10</v>
      </c>
      <c r="L51" s="14">
        <v>11</v>
      </c>
      <c r="M51" s="14">
        <v>12</v>
      </c>
      <c r="N51" s="14">
        <v>13</v>
      </c>
      <c r="O51" s="14">
        <v>14</v>
      </c>
      <c r="P51" s="14">
        <v>15</v>
      </c>
      <c r="Q51" s="14">
        <v>16</v>
      </c>
      <c r="R51" s="14">
        <v>17</v>
      </c>
      <c r="S51" s="14">
        <v>18</v>
      </c>
      <c r="T51" s="14">
        <v>19</v>
      </c>
      <c r="U51" s="14">
        <v>20</v>
      </c>
      <c r="V51" s="14">
        <v>21</v>
      </c>
      <c r="W51" s="14">
        <v>22</v>
      </c>
      <c r="X51" s="14">
        <v>23</v>
      </c>
      <c r="Y51" s="14">
        <v>24</v>
      </c>
      <c r="Z51" s="14">
        <v>25</v>
      </c>
    </row>
    <row r="52" spans="1:36">
      <c r="B52" s="533" t="s">
        <v>136</v>
      </c>
      <c r="D52" s="14"/>
      <c r="E52" s="14"/>
      <c r="F52" s="298">
        <v>2.5</v>
      </c>
      <c r="G52" t="s">
        <v>121</v>
      </c>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1:36" ht="13.5" thickBot="1">
      <c r="B53" s="533" t="s">
        <v>304</v>
      </c>
      <c r="D53" s="14"/>
      <c r="E53" s="14"/>
      <c r="F53" s="298">
        <v>3</v>
      </c>
      <c r="G53" s="534" t="s">
        <v>121</v>
      </c>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36">
      <c r="B54" s="284" t="s">
        <v>85</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2"/>
    </row>
    <row r="55" spans="1:36">
      <c r="B55" s="50"/>
      <c r="C55" s="512" t="s">
        <v>78</v>
      </c>
      <c r="D55" s="512"/>
      <c r="E55" s="510" t="s">
        <v>82</v>
      </c>
      <c r="F55" s="528"/>
      <c r="G55" s="512" t="s">
        <v>83</v>
      </c>
      <c r="H55" s="512"/>
      <c r="I55" s="512" t="s">
        <v>95</v>
      </c>
      <c r="J55" s="512"/>
      <c r="K55" s="512" t="str">
        <f>J10</f>
        <v>Circuit Setter</v>
      </c>
      <c r="L55" s="512"/>
      <c r="M55" s="512" t="str">
        <f>K10</f>
        <v>Silent Check</v>
      </c>
      <c r="N55" s="512"/>
      <c r="O55" s="525" t="str">
        <f>L10</f>
        <v>Swing Check</v>
      </c>
      <c r="P55" s="525"/>
      <c r="Q55" s="512" t="str">
        <f>M10</f>
        <v>Ball</v>
      </c>
      <c r="R55" s="512"/>
      <c r="S55" s="525" t="str">
        <f>N10</f>
        <v>Butterfly</v>
      </c>
      <c r="T55" s="525"/>
      <c r="U55" s="512" t="str">
        <f>O10</f>
        <v>Wye-Strainer</v>
      </c>
      <c r="V55" s="512"/>
      <c r="W55" s="512" t="str">
        <f>P10</f>
        <v>Suction Diffuser</v>
      </c>
      <c r="X55" s="512"/>
      <c r="Y55" s="510" t="str">
        <f>Q10</f>
        <v>Flow Limiting Valve</v>
      </c>
      <c r="Z55" s="511"/>
    </row>
    <row r="56" spans="1:36">
      <c r="B56" s="47" t="s">
        <v>58</v>
      </c>
      <c r="C56" s="2" t="s">
        <v>59</v>
      </c>
      <c r="D56" s="2" t="s">
        <v>60</v>
      </c>
      <c r="E56" s="2" t="s">
        <v>80</v>
      </c>
      <c r="F56" s="2" t="s">
        <v>81</v>
      </c>
      <c r="G56" s="2" t="s">
        <v>80</v>
      </c>
      <c r="H56" s="2" t="s">
        <v>81</v>
      </c>
      <c r="I56" s="2" t="s">
        <v>80</v>
      </c>
      <c r="J56" s="2" t="s">
        <v>81</v>
      </c>
      <c r="K56" s="2" t="s">
        <v>80</v>
      </c>
      <c r="L56" s="2" t="s">
        <v>81</v>
      </c>
      <c r="M56" s="2" t="s">
        <v>80</v>
      </c>
      <c r="N56" s="2" t="s">
        <v>81</v>
      </c>
      <c r="O56" s="2" t="s">
        <v>80</v>
      </c>
      <c r="P56" s="2" t="s">
        <v>81</v>
      </c>
      <c r="Q56" s="2" t="s">
        <v>80</v>
      </c>
      <c r="R56" s="2" t="s">
        <v>81</v>
      </c>
      <c r="S56" s="2" t="s">
        <v>80</v>
      </c>
      <c r="T56" s="2" t="s">
        <v>81</v>
      </c>
      <c r="U56" s="2" t="s">
        <v>80</v>
      </c>
      <c r="V56" s="2" t="s">
        <v>81</v>
      </c>
      <c r="W56" s="2" t="s">
        <v>80</v>
      </c>
      <c r="X56" s="2" t="s">
        <v>81</v>
      </c>
      <c r="Y56" s="2" t="s">
        <v>80</v>
      </c>
      <c r="Z56" s="5" t="s">
        <v>81</v>
      </c>
    </row>
    <row r="57" spans="1:36">
      <c r="B57" s="15">
        <v>0.5</v>
      </c>
      <c r="C57" s="417">
        <v>2.2599999999999998</v>
      </c>
      <c r="D57" s="417">
        <v>4.6100000000000003</v>
      </c>
      <c r="E57" s="417">
        <v>0.92</v>
      </c>
      <c r="F57" s="417">
        <v>18.7</v>
      </c>
      <c r="G57" s="417">
        <v>1.67</v>
      </c>
      <c r="H57" s="417">
        <v>18.7</v>
      </c>
      <c r="I57" s="417">
        <v>1.56</v>
      </c>
      <c r="J57" s="417">
        <v>28.5</v>
      </c>
      <c r="K57" s="419">
        <v>40</v>
      </c>
      <c r="L57" s="417">
        <v>17.149999999999999</v>
      </c>
      <c r="M57" s="201">
        <f>TREND($M$59:$M$67,$B$59:$B$67,B57)</f>
        <v>93.766156462585073</v>
      </c>
      <c r="N57" s="201">
        <f>L57</f>
        <v>17.149999999999999</v>
      </c>
      <c r="O57" s="425">
        <v>23.5</v>
      </c>
      <c r="P57" s="423">
        <v>15.55</v>
      </c>
      <c r="Q57" s="419">
        <v>10.3</v>
      </c>
      <c r="R57" s="419">
        <v>17</v>
      </c>
      <c r="S57" s="86">
        <v>999999999</v>
      </c>
      <c r="T57" s="86">
        <v>999999999</v>
      </c>
      <c r="U57" s="426">
        <v>19.2</v>
      </c>
      <c r="V57" s="426">
        <v>18.850000000000001</v>
      </c>
      <c r="W57" s="86">
        <v>999999999</v>
      </c>
      <c r="X57" s="86">
        <v>999999999</v>
      </c>
      <c r="Y57" s="419">
        <v>120.98</v>
      </c>
      <c r="Z57" s="205">
        <f t="shared" ref="Z57:Z68" si="5">L57</f>
        <v>17.149999999999999</v>
      </c>
    </row>
    <row r="58" spans="1:36">
      <c r="B58" s="15">
        <v>0.75</v>
      </c>
      <c r="C58" s="417">
        <v>3.51</v>
      </c>
      <c r="D58" s="417">
        <v>4.92</v>
      </c>
      <c r="E58" s="417">
        <v>2.04</v>
      </c>
      <c r="F58" s="417">
        <v>19.649999999999999</v>
      </c>
      <c r="G58" s="417">
        <v>2.93</v>
      </c>
      <c r="H58" s="417">
        <v>19.649999999999999</v>
      </c>
      <c r="I58" s="417">
        <v>3.75</v>
      </c>
      <c r="J58" s="417">
        <v>31</v>
      </c>
      <c r="K58" s="419">
        <v>44</v>
      </c>
      <c r="L58" s="417">
        <v>18.850000000000001</v>
      </c>
      <c r="M58" s="201">
        <f>TREND($M$59:$M$67,$B$59:$B$67,B58)</f>
        <v>148.15816326530617</v>
      </c>
      <c r="N58" s="201">
        <f>L58</f>
        <v>18.850000000000001</v>
      </c>
      <c r="O58" s="425">
        <v>30</v>
      </c>
      <c r="P58" s="423">
        <v>18.7</v>
      </c>
      <c r="Q58" s="419">
        <v>16.95</v>
      </c>
      <c r="R58" s="419">
        <v>18.7</v>
      </c>
      <c r="S58" s="86">
        <v>999999999</v>
      </c>
      <c r="T58" s="86">
        <v>999999999</v>
      </c>
      <c r="U58" s="426">
        <v>21.5</v>
      </c>
      <c r="V58" s="426">
        <v>19.850000000000001</v>
      </c>
      <c r="W58" s="86">
        <v>999999999</v>
      </c>
      <c r="X58" s="86">
        <v>999999999</v>
      </c>
      <c r="Y58" s="419">
        <v>131.12</v>
      </c>
      <c r="Z58" s="205">
        <f t="shared" si="5"/>
        <v>18.850000000000001</v>
      </c>
    </row>
    <row r="59" spans="1:36">
      <c r="B59" s="15">
        <v>1</v>
      </c>
      <c r="C59" s="417">
        <v>5.0999999999999996</v>
      </c>
      <c r="D59" s="417">
        <v>5.5</v>
      </c>
      <c r="E59" s="417">
        <v>5</v>
      </c>
      <c r="F59" s="417">
        <v>23.5</v>
      </c>
      <c r="G59" s="417">
        <v>7.35</v>
      </c>
      <c r="H59" s="417">
        <v>23.5</v>
      </c>
      <c r="I59" s="417">
        <v>11.6</v>
      </c>
      <c r="J59" s="417">
        <v>37.5</v>
      </c>
      <c r="K59" s="419">
        <v>54</v>
      </c>
      <c r="L59" s="417">
        <v>21</v>
      </c>
      <c r="M59" s="419">
        <v>260</v>
      </c>
      <c r="N59" s="419">
        <v>26.5</v>
      </c>
      <c r="O59" s="423">
        <v>42</v>
      </c>
      <c r="P59" s="423">
        <v>19.649999999999999</v>
      </c>
      <c r="Q59" s="419">
        <v>21.5</v>
      </c>
      <c r="R59" s="419">
        <v>19.649999999999999</v>
      </c>
      <c r="S59" s="86">
        <v>999999999</v>
      </c>
      <c r="T59" s="86">
        <v>999999999</v>
      </c>
      <c r="U59" s="426">
        <v>23</v>
      </c>
      <c r="V59" s="426">
        <v>22</v>
      </c>
      <c r="W59" s="86">
        <v>999999999</v>
      </c>
      <c r="X59" s="86">
        <v>999999999</v>
      </c>
      <c r="Y59" s="419">
        <v>142.72</v>
      </c>
      <c r="Z59" s="205">
        <f t="shared" si="5"/>
        <v>21</v>
      </c>
    </row>
    <row r="60" spans="1:36">
      <c r="B60" s="15">
        <v>1.25</v>
      </c>
      <c r="C60" s="417">
        <v>7.05</v>
      </c>
      <c r="D60" s="417">
        <v>6.45</v>
      </c>
      <c r="E60" s="417">
        <v>7.6</v>
      </c>
      <c r="F60" s="417">
        <v>25</v>
      </c>
      <c r="G60" s="417">
        <v>10.45</v>
      </c>
      <c r="H60" s="417">
        <v>25</v>
      </c>
      <c r="I60" s="417">
        <v>16.7</v>
      </c>
      <c r="J60" s="417">
        <v>41.5</v>
      </c>
      <c r="K60" s="419">
        <v>78</v>
      </c>
      <c r="L60" s="417">
        <v>25</v>
      </c>
      <c r="M60" s="419">
        <v>271</v>
      </c>
      <c r="N60" s="419">
        <v>31</v>
      </c>
      <c r="O60" s="422">
        <v>54.5</v>
      </c>
      <c r="P60" s="422">
        <v>25</v>
      </c>
      <c r="Q60" s="419">
        <v>32.5</v>
      </c>
      <c r="R60" s="419">
        <v>25</v>
      </c>
      <c r="S60" s="86">
        <v>999999999</v>
      </c>
      <c r="T60" s="86">
        <v>999999999</v>
      </c>
      <c r="U60" s="426">
        <v>51.5</v>
      </c>
      <c r="V60" s="426">
        <v>25</v>
      </c>
      <c r="W60" s="86">
        <v>999999999</v>
      </c>
      <c r="X60" s="86">
        <v>999999999</v>
      </c>
      <c r="Y60" s="419">
        <v>263.7</v>
      </c>
      <c r="Z60" s="205">
        <f t="shared" si="5"/>
        <v>25</v>
      </c>
    </row>
    <row r="61" spans="1:36">
      <c r="B61" s="15">
        <v>1.5</v>
      </c>
      <c r="C61" s="417">
        <v>9.0500000000000007</v>
      </c>
      <c r="D61" s="417">
        <v>7.2</v>
      </c>
      <c r="E61" s="417">
        <v>11.8</v>
      </c>
      <c r="F61" s="417">
        <v>28.5</v>
      </c>
      <c r="G61" s="417">
        <v>12.6</v>
      </c>
      <c r="H61" s="417">
        <v>28.5</v>
      </c>
      <c r="I61" s="417">
        <v>25.5</v>
      </c>
      <c r="J61" s="417">
        <v>46.5</v>
      </c>
      <c r="K61" s="419">
        <v>91</v>
      </c>
      <c r="L61" s="417">
        <v>31.5</v>
      </c>
      <c r="M61" s="419">
        <v>325</v>
      </c>
      <c r="N61" s="419">
        <v>34</v>
      </c>
      <c r="O61" s="423">
        <v>72</v>
      </c>
      <c r="P61" s="423">
        <v>28.5</v>
      </c>
      <c r="Q61" s="419">
        <v>42.5</v>
      </c>
      <c r="R61" s="419">
        <v>28.5</v>
      </c>
      <c r="S61" s="86">
        <v>999999999</v>
      </c>
      <c r="T61" s="86">
        <v>999999999</v>
      </c>
      <c r="U61" s="426">
        <v>365</v>
      </c>
      <c r="V61" s="426">
        <v>34.5</v>
      </c>
      <c r="W61" s="86">
        <v>999999999</v>
      </c>
      <c r="X61" s="86">
        <v>999999999</v>
      </c>
      <c r="Y61" s="419">
        <v>263.7</v>
      </c>
      <c r="Z61" s="205">
        <f t="shared" si="5"/>
        <v>31.5</v>
      </c>
    </row>
    <row r="62" spans="1:36">
      <c r="B62" s="15">
        <v>2</v>
      </c>
      <c r="C62" s="417">
        <v>14.05</v>
      </c>
      <c r="D62" s="417">
        <v>8.9</v>
      </c>
      <c r="E62" s="417">
        <v>21.5</v>
      </c>
      <c r="F62" s="417">
        <v>34</v>
      </c>
      <c r="G62" s="417">
        <v>21</v>
      </c>
      <c r="H62" s="417">
        <v>34</v>
      </c>
      <c r="I62" s="417">
        <v>40</v>
      </c>
      <c r="J62" s="417">
        <v>53.5</v>
      </c>
      <c r="K62" s="419">
        <v>130</v>
      </c>
      <c r="L62" s="417">
        <v>37.5</v>
      </c>
      <c r="M62" s="419">
        <v>440</v>
      </c>
      <c r="N62" s="419">
        <v>41.5</v>
      </c>
      <c r="O62" s="423">
        <v>109</v>
      </c>
      <c r="P62" s="419">
        <v>34</v>
      </c>
      <c r="Q62" s="419">
        <v>51.5</v>
      </c>
      <c r="R62" s="419">
        <v>34</v>
      </c>
      <c r="S62" s="419">
        <v>227</v>
      </c>
      <c r="T62" s="419">
        <v>26.5</v>
      </c>
      <c r="U62" s="426">
        <v>440</v>
      </c>
      <c r="V62" s="426">
        <v>47</v>
      </c>
      <c r="W62" s="425">
        <v>250</v>
      </c>
      <c r="X62" s="426">
        <v>63</v>
      </c>
      <c r="Y62" s="419">
        <v>394.1</v>
      </c>
      <c r="Z62" s="205">
        <f t="shared" si="5"/>
        <v>37.5</v>
      </c>
    </row>
    <row r="63" spans="1:36">
      <c r="B63" s="15">
        <v>2.5</v>
      </c>
      <c r="C63" s="417">
        <v>21.5</v>
      </c>
      <c r="D63" s="417">
        <v>10.85</v>
      </c>
      <c r="E63" s="417">
        <v>45.5</v>
      </c>
      <c r="F63" s="417">
        <v>51.5</v>
      </c>
      <c r="G63" s="417">
        <v>45</v>
      </c>
      <c r="H63" s="417">
        <v>51.5</v>
      </c>
      <c r="I63" s="417">
        <v>95</v>
      </c>
      <c r="J63" s="417">
        <v>84</v>
      </c>
      <c r="K63" s="419">
        <v>370</v>
      </c>
      <c r="L63" s="417">
        <v>45</v>
      </c>
      <c r="M63" s="419">
        <v>495</v>
      </c>
      <c r="N63" s="419">
        <v>74.5</v>
      </c>
      <c r="O63" s="423">
        <v>258</v>
      </c>
      <c r="P63" s="419">
        <v>45</v>
      </c>
      <c r="Q63" s="419">
        <v>172</v>
      </c>
      <c r="R63" s="419">
        <v>41.5</v>
      </c>
      <c r="S63" s="419">
        <v>228</v>
      </c>
      <c r="T63" s="419">
        <v>74.5</v>
      </c>
      <c r="U63" s="426">
        <v>650</v>
      </c>
      <c r="V63" s="426">
        <v>136</v>
      </c>
      <c r="W63" s="456">
        <v>279</v>
      </c>
      <c r="X63" s="456">
        <v>104</v>
      </c>
      <c r="Y63" s="422">
        <v>587.54</v>
      </c>
      <c r="Z63" s="205">
        <f t="shared" si="5"/>
        <v>45</v>
      </c>
    </row>
    <row r="64" spans="1:36">
      <c r="B64" s="54">
        <v>3</v>
      </c>
      <c r="C64" s="417">
        <v>29.5</v>
      </c>
      <c r="D64" s="417">
        <v>12</v>
      </c>
      <c r="E64" s="417">
        <v>60.5</v>
      </c>
      <c r="F64" s="417">
        <v>61</v>
      </c>
      <c r="G64" s="417">
        <v>66.5</v>
      </c>
      <c r="H64" s="417">
        <v>51.5</v>
      </c>
      <c r="I64" s="417">
        <v>124</v>
      </c>
      <c r="J64" s="417">
        <v>96</v>
      </c>
      <c r="K64" s="419">
        <v>562</v>
      </c>
      <c r="L64" s="419">
        <v>170</v>
      </c>
      <c r="M64" s="419">
        <v>550</v>
      </c>
      <c r="N64" s="419">
        <v>84</v>
      </c>
      <c r="O64" s="423">
        <v>345</v>
      </c>
      <c r="P64" s="419">
        <v>51.5</v>
      </c>
      <c r="Q64" s="419">
        <v>261</v>
      </c>
      <c r="R64" s="419">
        <v>46.5</v>
      </c>
      <c r="S64" s="419">
        <v>240</v>
      </c>
      <c r="T64" s="419">
        <v>84</v>
      </c>
      <c r="U64" s="426">
        <v>805</v>
      </c>
      <c r="V64" s="426">
        <v>151</v>
      </c>
      <c r="W64" s="425">
        <v>279</v>
      </c>
      <c r="X64" s="426">
        <v>104</v>
      </c>
      <c r="Y64" s="422">
        <v>587.54</v>
      </c>
      <c r="Z64" s="205">
        <f t="shared" si="5"/>
        <v>170</v>
      </c>
    </row>
    <row r="65" spans="2:26">
      <c r="B65" s="54">
        <v>4</v>
      </c>
      <c r="C65" s="417">
        <v>50</v>
      </c>
      <c r="D65" s="417">
        <v>17.25</v>
      </c>
      <c r="E65" s="417">
        <v>156</v>
      </c>
      <c r="F65" s="417">
        <v>74.5</v>
      </c>
      <c r="G65" s="417">
        <v>142</v>
      </c>
      <c r="H65" s="417">
        <v>74.5</v>
      </c>
      <c r="I65" s="417">
        <v>299</v>
      </c>
      <c r="J65" s="417">
        <v>135</v>
      </c>
      <c r="K65" s="422">
        <v>867</v>
      </c>
      <c r="L65" s="422">
        <v>226</v>
      </c>
      <c r="M65" s="419">
        <v>810</v>
      </c>
      <c r="N65" s="419">
        <v>135</v>
      </c>
      <c r="O65" s="423">
        <f t="shared" ref="O65:P68" si="6">O81</f>
        <v>1100</v>
      </c>
      <c r="P65" s="423">
        <f t="shared" si="6"/>
        <v>224</v>
      </c>
      <c r="Q65" s="86">
        <v>999999999</v>
      </c>
      <c r="R65" s="86">
        <v>999999999</v>
      </c>
      <c r="S65" s="419">
        <v>271</v>
      </c>
      <c r="T65" s="419">
        <v>135</v>
      </c>
      <c r="U65" s="426">
        <v>1225</v>
      </c>
      <c r="V65" s="426">
        <v>226</v>
      </c>
      <c r="W65" s="425">
        <v>550</v>
      </c>
      <c r="X65" s="426">
        <v>194</v>
      </c>
      <c r="Y65" s="422">
        <v>1514.78</v>
      </c>
      <c r="Z65" s="205">
        <f t="shared" si="5"/>
        <v>226</v>
      </c>
    </row>
    <row r="66" spans="2:26">
      <c r="B66" s="54">
        <v>5</v>
      </c>
      <c r="C66" s="417">
        <v>107</v>
      </c>
      <c r="D66" s="417">
        <v>19.8</v>
      </c>
      <c r="E66" s="417">
        <v>650</v>
      </c>
      <c r="F66" s="417">
        <v>112</v>
      </c>
      <c r="G66" s="417">
        <v>550</v>
      </c>
      <c r="H66" s="417">
        <v>112</v>
      </c>
      <c r="I66" s="417">
        <v>980</v>
      </c>
      <c r="J66" s="417">
        <v>168</v>
      </c>
      <c r="K66" s="422">
        <v>1308</v>
      </c>
      <c r="L66" s="202">
        <f>TREND($L$73:$L$80,$B$73:$B$80,B66)</f>
        <v>205.17763157894737</v>
      </c>
      <c r="M66" s="419">
        <v>1050</v>
      </c>
      <c r="N66" s="419">
        <v>174</v>
      </c>
      <c r="O66" s="423">
        <f t="shared" si="6"/>
        <v>1400</v>
      </c>
      <c r="P66" s="423">
        <f t="shared" si="6"/>
        <v>287</v>
      </c>
      <c r="Q66" s="86">
        <v>999999999</v>
      </c>
      <c r="R66" s="86">
        <v>999999999</v>
      </c>
      <c r="S66" s="419">
        <v>335</v>
      </c>
      <c r="T66" s="419">
        <v>209</v>
      </c>
      <c r="U66" s="426">
        <v>1225</v>
      </c>
      <c r="V66" s="426">
        <v>310</v>
      </c>
      <c r="W66" s="425">
        <v>725</v>
      </c>
      <c r="X66" s="426">
        <v>278</v>
      </c>
      <c r="Y66" s="422">
        <v>1514.78</v>
      </c>
      <c r="Z66" s="205">
        <f t="shared" si="5"/>
        <v>205.17763157894737</v>
      </c>
    </row>
    <row r="67" spans="2:26">
      <c r="B67" s="54">
        <v>6</v>
      </c>
      <c r="C67" s="417">
        <v>149</v>
      </c>
      <c r="D67" s="417">
        <v>26</v>
      </c>
      <c r="E67" s="417">
        <v>865</v>
      </c>
      <c r="F67" s="417">
        <v>116</v>
      </c>
      <c r="G67" s="417">
        <v>865</v>
      </c>
      <c r="H67" s="417">
        <v>116</v>
      </c>
      <c r="I67" s="417">
        <v>1325</v>
      </c>
      <c r="J67" s="417">
        <v>174</v>
      </c>
      <c r="K67" s="422">
        <v>1763</v>
      </c>
      <c r="L67" s="202">
        <f>TREND($L$73:$L$80,$B$73:$B$80,B67)</f>
        <v>251.55657894736842</v>
      </c>
      <c r="M67" s="419">
        <v>1375</v>
      </c>
      <c r="N67" s="419">
        <v>209</v>
      </c>
      <c r="O67" s="423">
        <f t="shared" si="6"/>
        <v>1700</v>
      </c>
      <c r="P67" s="423">
        <f t="shared" si="6"/>
        <v>350</v>
      </c>
      <c r="Q67" s="86">
        <v>999999999</v>
      </c>
      <c r="R67" s="86">
        <v>999999999</v>
      </c>
      <c r="S67" s="419">
        <v>375</v>
      </c>
      <c r="T67" s="419">
        <v>209</v>
      </c>
      <c r="U67" s="426">
        <v>2325</v>
      </c>
      <c r="V67" s="426">
        <v>350</v>
      </c>
      <c r="W67" s="425">
        <v>755</v>
      </c>
      <c r="X67" s="426">
        <v>320</v>
      </c>
      <c r="Y67" s="422">
        <v>1514.78</v>
      </c>
      <c r="Z67" s="205">
        <f t="shared" si="5"/>
        <v>251.55657894736842</v>
      </c>
    </row>
    <row r="68" spans="2:26" ht="13.5" thickBot="1">
      <c r="B68" s="55">
        <v>8</v>
      </c>
      <c r="C68" s="418">
        <v>208</v>
      </c>
      <c r="D68" s="418">
        <v>29</v>
      </c>
      <c r="E68" s="418">
        <v>3200</v>
      </c>
      <c r="F68" s="418">
        <v>131</v>
      </c>
      <c r="G68" s="418">
        <v>2950</v>
      </c>
      <c r="H68" s="418">
        <v>131</v>
      </c>
      <c r="I68" s="418">
        <v>5150</v>
      </c>
      <c r="J68" s="418">
        <v>209</v>
      </c>
      <c r="K68" s="422">
        <v>3313</v>
      </c>
      <c r="L68" s="202">
        <f>TREND($L$73:$L$80,$B$73:$B$80,B68)</f>
        <v>344.3144736842105</v>
      </c>
      <c r="M68" s="421">
        <f>M84</f>
        <v>2225</v>
      </c>
      <c r="N68" s="421">
        <f>N84</f>
        <v>232</v>
      </c>
      <c r="O68" s="423">
        <f t="shared" si="6"/>
        <v>2800</v>
      </c>
      <c r="P68" s="423">
        <f t="shared" si="6"/>
        <v>420</v>
      </c>
      <c r="Q68" s="86">
        <v>999999999</v>
      </c>
      <c r="R68" s="86">
        <v>999999999</v>
      </c>
      <c r="S68" s="419">
        <v>485</v>
      </c>
      <c r="T68" s="419">
        <v>232</v>
      </c>
      <c r="U68" s="430">
        <v>2550</v>
      </c>
      <c r="V68" s="430">
        <v>405</v>
      </c>
      <c r="W68" s="429">
        <v>1025</v>
      </c>
      <c r="X68" s="430">
        <v>390</v>
      </c>
      <c r="Y68" s="421">
        <v>2338.04</v>
      </c>
      <c r="Z68" s="206">
        <f t="shared" si="5"/>
        <v>344.3144736842105</v>
      </c>
    </row>
    <row r="69" spans="2:26" s="80" customFormat="1" ht="13.5" thickBot="1">
      <c r="B69" s="277"/>
      <c r="C69" s="59"/>
      <c r="D69" s="59"/>
      <c r="E69" s="59"/>
      <c r="F69" s="59"/>
      <c r="G69" s="59"/>
      <c r="H69" s="59"/>
      <c r="I69" s="59"/>
      <c r="J69" s="59"/>
      <c r="K69" s="59"/>
      <c r="L69" s="59"/>
      <c r="M69" s="59"/>
      <c r="N69" s="59"/>
      <c r="O69" s="59"/>
      <c r="P69" s="59"/>
      <c r="Q69" s="101"/>
      <c r="R69" s="101"/>
      <c r="S69" s="59"/>
      <c r="T69" s="59"/>
      <c r="U69" s="102"/>
      <c r="V69" s="102"/>
      <c r="W69" s="101"/>
      <c r="X69" s="101"/>
      <c r="Z69" s="278"/>
    </row>
    <row r="70" spans="2:26" ht="13.5" thickBot="1">
      <c r="B70" s="285" t="s">
        <v>96</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4"/>
    </row>
    <row r="71" spans="2:26">
      <c r="B71" s="103"/>
      <c r="C71" s="516" t="s">
        <v>78</v>
      </c>
      <c r="D71" s="516"/>
      <c r="E71" s="516" t="s">
        <v>82</v>
      </c>
      <c r="F71" s="516"/>
      <c r="G71" s="516" t="s">
        <v>83</v>
      </c>
      <c r="H71" s="516"/>
      <c r="I71" s="516" t="s">
        <v>95</v>
      </c>
      <c r="J71" s="516"/>
      <c r="K71" s="525" t="str">
        <f>J10</f>
        <v>Circuit Setter</v>
      </c>
      <c r="L71" s="525"/>
      <c r="M71" s="525" t="str">
        <f>K10</f>
        <v>Silent Check</v>
      </c>
      <c r="N71" s="525"/>
      <c r="O71" s="531" t="str">
        <f>L10</f>
        <v>Swing Check</v>
      </c>
      <c r="P71" s="532"/>
      <c r="Q71" s="525" t="str">
        <f>M10</f>
        <v>Ball</v>
      </c>
      <c r="R71" s="525"/>
      <c r="S71" s="525" t="str">
        <f>N10</f>
        <v>Butterfly</v>
      </c>
      <c r="T71" s="525"/>
      <c r="U71" s="525" t="str">
        <f>O10</f>
        <v>Wye-Strainer</v>
      </c>
      <c r="V71" s="525"/>
      <c r="W71" s="512" t="str">
        <f>P10</f>
        <v>Suction Diffuser</v>
      </c>
      <c r="X71" s="512"/>
      <c r="Y71" s="510" t="str">
        <f>Q10</f>
        <v>Flow Limiting Valve</v>
      </c>
      <c r="Z71" s="511"/>
    </row>
    <row r="72" spans="2:26">
      <c r="B72" s="53" t="s">
        <v>58</v>
      </c>
      <c r="C72" s="52" t="s">
        <v>59</v>
      </c>
      <c r="D72" s="52" t="s">
        <v>60</v>
      </c>
      <c r="E72" s="52" t="s">
        <v>80</v>
      </c>
      <c r="F72" s="52" t="s">
        <v>81</v>
      </c>
      <c r="G72" s="52" t="s">
        <v>80</v>
      </c>
      <c r="H72" s="52" t="s">
        <v>81</v>
      </c>
      <c r="I72" s="52" t="s">
        <v>80</v>
      </c>
      <c r="J72" s="52" t="s">
        <v>81</v>
      </c>
      <c r="K72" s="2" t="s">
        <v>80</v>
      </c>
      <c r="L72" s="2" t="s">
        <v>81</v>
      </c>
      <c r="M72" s="2" t="s">
        <v>80</v>
      </c>
      <c r="N72" s="2" t="s">
        <v>81</v>
      </c>
      <c r="O72" s="2" t="s">
        <v>80</v>
      </c>
      <c r="P72" s="2" t="s">
        <v>81</v>
      </c>
      <c r="Q72" s="2" t="s">
        <v>80</v>
      </c>
      <c r="R72" s="2" t="s">
        <v>81</v>
      </c>
      <c r="S72" s="2" t="s">
        <v>80</v>
      </c>
      <c r="T72" s="2" t="s">
        <v>81</v>
      </c>
      <c r="U72" s="2" t="s">
        <v>80</v>
      </c>
      <c r="V72" s="2" t="s">
        <v>81</v>
      </c>
      <c r="W72" s="2" t="s">
        <v>80</v>
      </c>
      <c r="X72" s="2" t="s">
        <v>81</v>
      </c>
      <c r="Y72" s="2" t="s">
        <v>80</v>
      </c>
      <c r="Z72" s="5" t="s">
        <v>81</v>
      </c>
    </row>
    <row r="73" spans="2:26">
      <c r="B73" s="15">
        <v>0.5</v>
      </c>
      <c r="C73" s="422">
        <v>2.1800000000000002</v>
      </c>
      <c r="D73" s="422">
        <v>5.95</v>
      </c>
      <c r="E73" s="422">
        <v>27</v>
      </c>
      <c r="F73" s="422">
        <f>42+3.51</f>
        <v>45.51</v>
      </c>
      <c r="G73" s="422">
        <v>37.5</v>
      </c>
      <c r="H73" s="422">
        <f>42+3.51</f>
        <v>45.51</v>
      </c>
      <c r="I73" s="422">
        <v>68</v>
      </c>
      <c r="J73" s="422">
        <f>67.5+5.6</f>
        <v>73.099999999999994</v>
      </c>
      <c r="K73" s="419">
        <v>40</v>
      </c>
      <c r="L73" s="417">
        <v>17.149999999999999</v>
      </c>
      <c r="M73" s="419">
        <f>M57</f>
        <v>93.766156462585073</v>
      </c>
      <c r="N73" s="419">
        <f>N57</f>
        <v>17.149999999999999</v>
      </c>
      <c r="O73" s="201">
        <f>TREND($O$78:$O$81,$B$78:$B$81,B73)</f>
        <v>280.14285714285728</v>
      </c>
      <c r="P73" s="203">
        <f>L73</f>
        <v>17.149999999999999</v>
      </c>
      <c r="Q73" s="419">
        <v>62.5</v>
      </c>
      <c r="R73" s="419">
        <f>35.5+2.96</f>
        <v>38.46</v>
      </c>
      <c r="S73" s="86">
        <v>999999999</v>
      </c>
      <c r="T73" s="86">
        <v>999999999</v>
      </c>
      <c r="U73" s="426">
        <v>7.75</v>
      </c>
      <c r="V73" s="426">
        <v>18.850000000000001</v>
      </c>
      <c r="W73" s="86">
        <v>999999999</v>
      </c>
      <c r="X73" s="86">
        <v>999999999</v>
      </c>
      <c r="Y73" s="419">
        <f>Y57</f>
        <v>120.98</v>
      </c>
      <c r="Z73" s="279">
        <f>L73</f>
        <v>17.149999999999999</v>
      </c>
    </row>
    <row r="74" spans="2:26">
      <c r="B74" s="15">
        <v>0.75</v>
      </c>
      <c r="C74" s="422">
        <v>2.58</v>
      </c>
      <c r="D74" s="422">
        <v>6.1</v>
      </c>
      <c r="E74" s="422">
        <v>27</v>
      </c>
      <c r="F74" s="422">
        <f>42+3.51</f>
        <v>45.51</v>
      </c>
      <c r="G74" s="422">
        <v>37.5</v>
      </c>
      <c r="H74" s="422">
        <f>42+3.51</f>
        <v>45.51</v>
      </c>
      <c r="I74" s="422">
        <v>68</v>
      </c>
      <c r="J74" s="422">
        <f>67.5+5.6</f>
        <v>73.099999999999994</v>
      </c>
      <c r="K74" s="419">
        <v>44</v>
      </c>
      <c r="L74" s="417">
        <v>18.850000000000001</v>
      </c>
      <c r="M74" s="419">
        <f>M58</f>
        <v>148.15816326530617</v>
      </c>
      <c r="N74" s="419">
        <f>N58</f>
        <v>18.850000000000001</v>
      </c>
      <c r="O74" s="201">
        <f>TREND($O$78:$O$81,$B$78:$B$81,B74)</f>
        <v>335.78571428571439</v>
      </c>
      <c r="P74" s="203">
        <f>L74</f>
        <v>18.850000000000001</v>
      </c>
      <c r="Q74" s="419">
        <v>83</v>
      </c>
      <c r="R74" s="419">
        <f>35.5+2.96</f>
        <v>38.46</v>
      </c>
      <c r="S74" s="86">
        <v>999999999</v>
      </c>
      <c r="T74" s="86">
        <v>999999999</v>
      </c>
      <c r="U74" s="426">
        <v>9.4499999999999993</v>
      </c>
      <c r="V74" s="426">
        <v>21</v>
      </c>
      <c r="W74" s="86">
        <v>999999999</v>
      </c>
      <c r="X74" s="86">
        <v>999999999</v>
      </c>
      <c r="Y74" s="419">
        <f t="shared" ref="Y74:Y84" si="7">Y58</f>
        <v>131.12</v>
      </c>
      <c r="Z74" s="279">
        <f t="shared" ref="Z74:Z86" si="8">L74</f>
        <v>18.850000000000001</v>
      </c>
    </row>
    <row r="75" spans="2:26">
      <c r="B75" s="15">
        <v>1</v>
      </c>
      <c r="C75" s="422">
        <v>3.7</v>
      </c>
      <c r="D75" s="422">
        <f>7.25+0.6</f>
        <v>7.85</v>
      </c>
      <c r="E75" s="422">
        <v>13.1</v>
      </c>
      <c r="F75" s="422">
        <f>42+3.51</f>
        <v>45.51</v>
      </c>
      <c r="G75" s="422">
        <v>13.45</v>
      </c>
      <c r="H75" s="422">
        <f>42+3.51</f>
        <v>45.51</v>
      </c>
      <c r="I75" s="422">
        <v>34.5</v>
      </c>
      <c r="J75" s="422">
        <f>67.5+5.6</f>
        <v>73.099999999999994</v>
      </c>
      <c r="K75" s="419">
        <v>54</v>
      </c>
      <c r="L75" s="417">
        <v>21</v>
      </c>
      <c r="M75" s="419">
        <v>340</v>
      </c>
      <c r="N75" s="419">
        <v>26.5</v>
      </c>
      <c r="O75" s="423">
        <v>510</v>
      </c>
      <c r="P75" s="423">
        <v>37.5</v>
      </c>
      <c r="Q75" s="419">
        <v>103</v>
      </c>
      <c r="R75" s="419">
        <f>45+3.74</f>
        <v>48.74</v>
      </c>
      <c r="S75" s="86">
        <v>999999999</v>
      </c>
      <c r="T75" s="86">
        <v>999999999</v>
      </c>
      <c r="U75" s="426">
        <v>12.9</v>
      </c>
      <c r="V75" s="426">
        <v>23.5</v>
      </c>
      <c r="W75" s="86">
        <v>999999999</v>
      </c>
      <c r="X75" s="86">
        <v>999999999</v>
      </c>
      <c r="Y75" s="419">
        <f t="shared" si="7"/>
        <v>142.72</v>
      </c>
      <c r="Z75" s="279">
        <f t="shared" si="8"/>
        <v>21</v>
      </c>
    </row>
    <row r="76" spans="2:26">
      <c r="B76" s="15">
        <v>1.25</v>
      </c>
      <c r="C76" s="422">
        <v>4.93</v>
      </c>
      <c r="D76" s="422">
        <f>8+0.67</f>
        <v>8.67</v>
      </c>
      <c r="E76" s="422">
        <v>13.1</v>
      </c>
      <c r="F76" s="422">
        <f>48+4.01</f>
        <v>52.01</v>
      </c>
      <c r="G76" s="422">
        <v>13.45</v>
      </c>
      <c r="H76" s="422">
        <f>48+4.01</f>
        <v>52.01</v>
      </c>
      <c r="I76" s="422">
        <v>42</v>
      </c>
      <c r="J76" s="422">
        <f>74.5+6.25</f>
        <v>80.75</v>
      </c>
      <c r="K76" s="419">
        <v>78</v>
      </c>
      <c r="L76" s="417">
        <v>25</v>
      </c>
      <c r="M76" s="419">
        <v>375</v>
      </c>
      <c r="N76" s="419">
        <v>31</v>
      </c>
      <c r="O76" s="276">
        <f>TREND($O$78:$O$81,$B$78:$B$81,B76)</f>
        <v>447.07142857142867</v>
      </c>
      <c r="P76" s="203">
        <f>L76</f>
        <v>25</v>
      </c>
      <c r="Q76" s="419">
        <v>138</v>
      </c>
      <c r="R76" s="419">
        <f>51.5+4.32</f>
        <v>55.82</v>
      </c>
      <c r="S76" s="86">
        <v>999999999</v>
      </c>
      <c r="T76" s="86">
        <v>999999999</v>
      </c>
      <c r="U76" s="426">
        <v>17.2</v>
      </c>
      <c r="V76" s="426">
        <v>25</v>
      </c>
      <c r="W76" s="86">
        <v>999999999</v>
      </c>
      <c r="X76" s="86">
        <v>999999999</v>
      </c>
      <c r="Y76" s="419">
        <f t="shared" si="7"/>
        <v>263.7</v>
      </c>
      <c r="Z76" s="279">
        <f t="shared" si="8"/>
        <v>25</v>
      </c>
    </row>
    <row r="77" spans="2:26">
      <c r="B77" s="15">
        <v>1.5</v>
      </c>
      <c r="C77" s="422">
        <v>5.65</v>
      </c>
      <c r="D77" s="422">
        <f>8.85+0.74</f>
        <v>9.59</v>
      </c>
      <c r="E77" s="422">
        <v>13.1</v>
      </c>
      <c r="F77" s="422">
        <f>51.1+4.32</f>
        <v>55.42</v>
      </c>
      <c r="G77" s="422">
        <v>13.45</v>
      </c>
      <c r="H77" s="422">
        <f>51.5+4.32</f>
        <v>55.82</v>
      </c>
      <c r="I77" s="422">
        <v>42</v>
      </c>
      <c r="J77" s="422">
        <f>84+7</f>
        <v>91</v>
      </c>
      <c r="K77" s="419">
        <v>91</v>
      </c>
      <c r="L77" s="417">
        <v>31.5</v>
      </c>
      <c r="M77" s="419">
        <v>410</v>
      </c>
      <c r="N77" s="419">
        <v>34</v>
      </c>
      <c r="O77" s="276">
        <f>TREND($O$78:$O$81,$B$78:$B$81,B77)</f>
        <v>502.71428571428578</v>
      </c>
      <c r="P77" s="203">
        <f>L77</f>
        <v>31.5</v>
      </c>
      <c r="Q77" s="419">
        <v>180</v>
      </c>
      <c r="R77" s="419">
        <f>61+5.1</f>
        <v>66.099999999999994</v>
      </c>
      <c r="S77" s="86">
        <v>999999999</v>
      </c>
      <c r="T77" s="86">
        <v>999999999</v>
      </c>
      <c r="U77" s="426">
        <v>101</v>
      </c>
      <c r="V77" s="426">
        <v>34.5</v>
      </c>
      <c r="W77" s="86">
        <v>999999999</v>
      </c>
      <c r="X77" s="86">
        <v>999999999</v>
      </c>
      <c r="Y77" s="419">
        <f t="shared" si="7"/>
        <v>263.7</v>
      </c>
      <c r="Z77" s="279">
        <f t="shared" si="8"/>
        <v>31.5</v>
      </c>
    </row>
    <row r="78" spans="2:26">
      <c r="B78" s="15">
        <v>2</v>
      </c>
      <c r="C78" s="422">
        <v>7.4</v>
      </c>
      <c r="D78" s="422">
        <f>11+0.92</f>
        <v>11.92</v>
      </c>
      <c r="E78" s="422">
        <v>14.1</v>
      </c>
      <c r="F78" s="422">
        <f>67.5+5.6</f>
        <v>73.099999999999994</v>
      </c>
      <c r="G78" s="422">
        <v>13.45</v>
      </c>
      <c r="H78" s="422">
        <f>67.5+5.6</f>
        <v>73.099999999999994</v>
      </c>
      <c r="I78" s="422">
        <v>34</v>
      </c>
      <c r="J78" s="422">
        <f>112+9.35</f>
        <v>121.35</v>
      </c>
      <c r="K78" s="419">
        <v>130</v>
      </c>
      <c r="L78" s="417">
        <v>37.5</v>
      </c>
      <c r="M78" s="419">
        <v>495</v>
      </c>
      <c r="N78" s="419">
        <v>41.5</v>
      </c>
      <c r="O78" s="423">
        <v>645</v>
      </c>
      <c r="P78" s="419">
        <v>46.5</v>
      </c>
      <c r="Q78" s="419">
        <v>255</v>
      </c>
      <c r="R78" s="419">
        <f>79+6.6</f>
        <v>85.6</v>
      </c>
      <c r="S78" s="419">
        <v>227</v>
      </c>
      <c r="T78" s="419">
        <v>26.5</v>
      </c>
      <c r="U78" s="426">
        <v>106</v>
      </c>
      <c r="V78" s="426">
        <v>47</v>
      </c>
      <c r="W78" s="425">
        <f t="shared" ref="W78:X84" si="9">W62</f>
        <v>250</v>
      </c>
      <c r="X78" s="425">
        <f t="shared" si="9"/>
        <v>63</v>
      </c>
      <c r="Y78" s="419">
        <f t="shared" si="7"/>
        <v>394.1</v>
      </c>
      <c r="Z78" s="279">
        <f t="shared" si="8"/>
        <v>37.5</v>
      </c>
    </row>
    <row r="79" spans="2:26">
      <c r="B79" s="54">
        <v>2.5</v>
      </c>
      <c r="C79" s="419">
        <v>9.8000000000000007</v>
      </c>
      <c r="D79" s="419">
        <f>14.3+1.19</f>
        <v>15.49</v>
      </c>
      <c r="E79" s="419">
        <v>16.95</v>
      </c>
      <c r="F79" s="419">
        <f>84+7</f>
        <v>91</v>
      </c>
      <c r="G79" s="419">
        <v>15.7</v>
      </c>
      <c r="H79" s="419">
        <f>84+7</f>
        <v>91</v>
      </c>
      <c r="I79" s="419">
        <v>46.5</v>
      </c>
      <c r="J79" s="419">
        <f>135+11.25</f>
        <v>146.25</v>
      </c>
      <c r="K79" s="419">
        <v>370</v>
      </c>
      <c r="L79" s="417">
        <v>45</v>
      </c>
      <c r="M79" s="419">
        <v>595</v>
      </c>
      <c r="N79" s="419">
        <v>74.5</v>
      </c>
      <c r="O79" s="423">
        <v>745</v>
      </c>
      <c r="P79" s="419">
        <v>135</v>
      </c>
      <c r="Q79" s="86">
        <v>999999999</v>
      </c>
      <c r="R79" s="86">
        <v>999999999</v>
      </c>
      <c r="S79" s="419">
        <v>228</v>
      </c>
      <c r="T79" s="419">
        <v>74.5</v>
      </c>
      <c r="U79" s="426">
        <v>128</v>
      </c>
      <c r="V79" s="426">
        <v>136</v>
      </c>
      <c r="W79" s="425">
        <f t="shared" si="9"/>
        <v>279</v>
      </c>
      <c r="X79" s="425">
        <f t="shared" si="9"/>
        <v>104</v>
      </c>
      <c r="Y79" s="419">
        <f t="shared" si="7"/>
        <v>587.54</v>
      </c>
      <c r="Z79" s="279">
        <f t="shared" si="8"/>
        <v>45</v>
      </c>
    </row>
    <row r="80" spans="2:26">
      <c r="B80" s="54">
        <v>3</v>
      </c>
      <c r="C80" s="419">
        <v>12.5</v>
      </c>
      <c r="D80" s="419">
        <f>15.65+1.31</f>
        <v>16.96</v>
      </c>
      <c r="E80" s="419">
        <v>21</v>
      </c>
      <c r="F80" s="419">
        <f>96+8</f>
        <v>104</v>
      </c>
      <c r="G80" s="419">
        <v>16.95</v>
      </c>
      <c r="H80" s="419">
        <f>96+8</f>
        <v>104</v>
      </c>
      <c r="I80" s="419">
        <v>51.5</v>
      </c>
      <c r="J80" s="419">
        <f>168+14.05</f>
        <v>182.05</v>
      </c>
      <c r="K80" s="419">
        <v>562</v>
      </c>
      <c r="L80" s="419">
        <v>170</v>
      </c>
      <c r="M80" s="419">
        <v>695</v>
      </c>
      <c r="N80" s="419">
        <v>84</v>
      </c>
      <c r="O80" s="423">
        <v>745</v>
      </c>
      <c r="P80" s="419">
        <v>149</v>
      </c>
      <c r="Q80" s="86">
        <v>999999999</v>
      </c>
      <c r="R80" s="86">
        <v>999999999</v>
      </c>
      <c r="S80" s="419">
        <v>240</v>
      </c>
      <c r="T80" s="419">
        <v>84</v>
      </c>
      <c r="U80" s="426">
        <v>142</v>
      </c>
      <c r="V80" s="426">
        <v>151</v>
      </c>
      <c r="W80" s="425">
        <f t="shared" si="9"/>
        <v>279</v>
      </c>
      <c r="X80" s="425">
        <f t="shared" si="9"/>
        <v>104</v>
      </c>
      <c r="Y80" s="419">
        <f t="shared" si="7"/>
        <v>587.54</v>
      </c>
      <c r="Z80" s="279">
        <f t="shared" si="8"/>
        <v>170</v>
      </c>
    </row>
    <row r="81" spans="2:36">
      <c r="B81" s="54">
        <v>4</v>
      </c>
      <c r="C81" s="419">
        <v>16.5</v>
      </c>
      <c r="D81" s="419">
        <f>18.2+1.52</f>
        <v>19.72</v>
      </c>
      <c r="E81" s="419">
        <v>34</v>
      </c>
      <c r="F81" s="419">
        <f>135+11.25</f>
        <v>146.25</v>
      </c>
      <c r="G81" s="419">
        <v>30</v>
      </c>
      <c r="H81" s="419">
        <f>135+11.25</f>
        <v>146.25</v>
      </c>
      <c r="I81" s="419">
        <v>72.5</v>
      </c>
      <c r="J81" s="419">
        <f>224+18.7</f>
        <v>242.7</v>
      </c>
      <c r="K81" s="422">
        <v>867</v>
      </c>
      <c r="L81" s="422">
        <v>226</v>
      </c>
      <c r="M81" s="419">
        <v>945</v>
      </c>
      <c r="N81" s="419">
        <v>135</v>
      </c>
      <c r="O81" s="423">
        <v>1100</v>
      </c>
      <c r="P81" s="419">
        <v>224</v>
      </c>
      <c r="Q81" s="86">
        <v>999999999</v>
      </c>
      <c r="R81" s="86">
        <v>999999999</v>
      </c>
      <c r="S81" s="419">
        <v>271</v>
      </c>
      <c r="T81" s="419">
        <v>135</v>
      </c>
      <c r="U81" s="426">
        <v>181</v>
      </c>
      <c r="V81" s="426">
        <v>226</v>
      </c>
      <c r="W81" s="425">
        <f t="shared" si="9"/>
        <v>550</v>
      </c>
      <c r="X81" s="425">
        <f t="shared" si="9"/>
        <v>194</v>
      </c>
      <c r="Y81" s="419">
        <f t="shared" si="7"/>
        <v>1514.78</v>
      </c>
      <c r="Z81" s="279">
        <f t="shared" si="8"/>
        <v>226</v>
      </c>
    </row>
    <row r="82" spans="2:36">
      <c r="B82" s="54">
        <v>5</v>
      </c>
      <c r="C82" s="419">
        <v>24</v>
      </c>
      <c r="D82" s="419">
        <f>21+1.76</f>
        <v>22.76</v>
      </c>
      <c r="E82" s="419">
        <v>71</v>
      </c>
      <c r="F82" s="419">
        <f>168+14.05</f>
        <v>182.05</v>
      </c>
      <c r="G82" s="419">
        <v>46</v>
      </c>
      <c r="H82" s="419">
        <f>168+14.05</f>
        <v>182.05</v>
      </c>
      <c r="I82" s="419">
        <v>120</v>
      </c>
      <c r="J82" s="419">
        <f>269+22.5</f>
        <v>291.5</v>
      </c>
      <c r="K82" s="422">
        <v>1308</v>
      </c>
      <c r="L82" s="202">
        <f>TREND($L$73:$L$80,$B$73:$B$80,B82)</f>
        <v>205.17763157894737</v>
      </c>
      <c r="M82" s="419">
        <v>1175</v>
      </c>
      <c r="N82" s="419">
        <v>174</v>
      </c>
      <c r="O82" s="202">
        <f>(O81+O83)/2</f>
        <v>1400</v>
      </c>
      <c r="P82" s="202">
        <f>(P81+P83)/2</f>
        <v>287</v>
      </c>
      <c r="Q82" s="86">
        <v>999999999</v>
      </c>
      <c r="R82" s="86">
        <v>999999999</v>
      </c>
      <c r="S82" s="419">
        <v>335</v>
      </c>
      <c r="T82" s="419">
        <v>209</v>
      </c>
      <c r="U82" s="426">
        <v>283</v>
      </c>
      <c r="V82" s="426">
        <v>310</v>
      </c>
      <c r="W82" s="425">
        <f t="shared" si="9"/>
        <v>725</v>
      </c>
      <c r="X82" s="425">
        <f t="shared" si="9"/>
        <v>278</v>
      </c>
      <c r="Y82" s="419">
        <f t="shared" si="7"/>
        <v>1514.78</v>
      </c>
      <c r="Z82" s="279">
        <f t="shared" si="8"/>
        <v>205.17763157894737</v>
      </c>
    </row>
    <row r="83" spans="2:36">
      <c r="B83" s="54">
        <v>6</v>
      </c>
      <c r="C83" s="419">
        <v>30</v>
      </c>
      <c r="D83" s="419">
        <f>29+1.56</f>
        <v>30.56</v>
      </c>
      <c r="E83" s="419">
        <v>74</v>
      </c>
      <c r="F83" s="419">
        <f>209+11.25</f>
        <v>220.25</v>
      </c>
      <c r="G83" s="419">
        <v>60</v>
      </c>
      <c r="H83" s="419">
        <f>209+11.25</f>
        <v>220.25</v>
      </c>
      <c r="I83" s="419">
        <v>124</v>
      </c>
      <c r="J83" s="419">
        <f>350+18.7</f>
        <v>368.7</v>
      </c>
      <c r="K83" s="422">
        <v>1763</v>
      </c>
      <c r="L83" s="202">
        <f>TREND($L$73:$L$80,$B$73:$B$80,B83)</f>
        <v>251.55657894736842</v>
      </c>
      <c r="M83" s="419">
        <v>1525</v>
      </c>
      <c r="N83" s="419">
        <v>209</v>
      </c>
      <c r="O83" s="423">
        <v>1700</v>
      </c>
      <c r="P83" s="419">
        <v>350</v>
      </c>
      <c r="Q83" s="86">
        <v>999999999</v>
      </c>
      <c r="R83" s="86">
        <v>999999999</v>
      </c>
      <c r="S83" s="419">
        <v>375</v>
      </c>
      <c r="T83" s="419">
        <v>209</v>
      </c>
      <c r="U83" s="426">
        <v>283</v>
      </c>
      <c r="V83" s="426">
        <v>350</v>
      </c>
      <c r="W83" s="425">
        <f t="shared" si="9"/>
        <v>755</v>
      </c>
      <c r="X83" s="425">
        <f t="shared" si="9"/>
        <v>320</v>
      </c>
      <c r="Y83" s="419">
        <f t="shared" si="7"/>
        <v>1514.78</v>
      </c>
      <c r="Z83" s="279">
        <f t="shared" si="8"/>
        <v>251.55657894736842</v>
      </c>
    </row>
    <row r="84" spans="2:36">
      <c r="B84" s="54">
        <v>8</v>
      </c>
      <c r="C84" s="419">
        <v>47</v>
      </c>
      <c r="D84" s="419">
        <f>36+1.94</f>
        <v>37.94</v>
      </c>
      <c r="E84" s="419">
        <v>140</v>
      </c>
      <c r="F84" s="419">
        <f>279+15</f>
        <v>294</v>
      </c>
      <c r="G84" s="419">
        <v>100</v>
      </c>
      <c r="H84" s="419">
        <v>279.14999999999998</v>
      </c>
      <c r="I84" s="419">
        <v>219</v>
      </c>
      <c r="J84" s="419">
        <f>420+22.5</f>
        <v>442.5</v>
      </c>
      <c r="K84" s="422">
        <v>3313</v>
      </c>
      <c r="L84" s="202">
        <f>TREND($L$73:$L$80,$B$73:$B$80,B84)</f>
        <v>344.3144736842105</v>
      </c>
      <c r="M84" s="422">
        <v>2225</v>
      </c>
      <c r="N84" s="422">
        <v>232</v>
      </c>
      <c r="O84" s="423">
        <v>2800</v>
      </c>
      <c r="P84" s="419">
        <v>420</v>
      </c>
      <c r="Q84" s="86">
        <v>999999999</v>
      </c>
      <c r="R84" s="86">
        <v>999999999</v>
      </c>
      <c r="S84" s="419">
        <v>485</v>
      </c>
      <c r="T84" s="419">
        <v>232</v>
      </c>
      <c r="U84" s="426">
        <v>580</v>
      </c>
      <c r="V84" s="426">
        <v>420</v>
      </c>
      <c r="W84" s="425">
        <f t="shared" si="9"/>
        <v>1025</v>
      </c>
      <c r="X84" s="425">
        <f t="shared" si="9"/>
        <v>390</v>
      </c>
      <c r="Y84" s="419">
        <f t="shared" si="7"/>
        <v>2338.04</v>
      </c>
      <c r="Z84" s="279">
        <f t="shared" si="8"/>
        <v>344.3144736842105</v>
      </c>
    </row>
    <row r="85" spans="2:36">
      <c r="B85" s="54">
        <v>10</v>
      </c>
      <c r="C85" s="436">
        <v>60</v>
      </c>
      <c r="D85" s="419">
        <f>43.5+2.34</f>
        <v>45.84</v>
      </c>
      <c r="E85" s="419">
        <v>282</v>
      </c>
      <c r="F85" s="419">
        <f>350+18.7</f>
        <v>368.7</v>
      </c>
      <c r="G85" s="419">
        <v>200</v>
      </c>
      <c r="H85" s="419">
        <f>350+18.7</f>
        <v>368.7</v>
      </c>
      <c r="I85" s="419">
        <v>435</v>
      </c>
      <c r="J85" s="419">
        <f>525+28</f>
        <v>553</v>
      </c>
      <c r="K85" s="422">
        <v>4650</v>
      </c>
      <c r="L85" s="202">
        <f>TREND($L$73:$L$80,$B$73:$B$80,B85)</f>
        <v>437.0723684210526</v>
      </c>
      <c r="M85" s="424">
        <v>3125</v>
      </c>
      <c r="N85" s="422">
        <v>261</v>
      </c>
      <c r="O85" s="423">
        <v>4150</v>
      </c>
      <c r="P85" s="419">
        <v>475</v>
      </c>
      <c r="Q85" s="86">
        <v>999999999</v>
      </c>
      <c r="R85" s="86">
        <v>999999999</v>
      </c>
      <c r="S85" s="419">
        <v>620</v>
      </c>
      <c r="T85" s="419">
        <v>261</v>
      </c>
      <c r="U85" s="451">
        <v>1100</v>
      </c>
      <c r="V85" s="451">
        <v>530</v>
      </c>
      <c r="W85" s="427">
        <v>2475</v>
      </c>
      <c r="X85" s="427">
        <v>440</v>
      </c>
      <c r="Y85" s="437">
        <v>2654.16</v>
      </c>
      <c r="Z85" s="280">
        <f t="shared" si="8"/>
        <v>437.0723684210526</v>
      </c>
    </row>
    <row r="86" spans="2:36">
      <c r="B86" s="54">
        <v>12</v>
      </c>
      <c r="C86" s="436">
        <v>75</v>
      </c>
      <c r="D86" s="419">
        <f>55+2.96</f>
        <v>57.96</v>
      </c>
      <c r="E86" s="419">
        <v>420</v>
      </c>
      <c r="F86" s="419">
        <f>420+22.5</f>
        <v>442.5</v>
      </c>
      <c r="G86" s="419">
        <v>282</v>
      </c>
      <c r="H86" s="419">
        <f>420+22.5</f>
        <v>442.5</v>
      </c>
      <c r="I86" s="419">
        <v>605</v>
      </c>
      <c r="J86" s="419">
        <f>655+35</f>
        <v>690</v>
      </c>
      <c r="K86" s="422">
        <v>10133</v>
      </c>
      <c r="L86" s="202">
        <f>TREND($L$73:$L$80,$B$73:$B$80,B86)</f>
        <v>529.83026315789471</v>
      </c>
      <c r="M86" s="419">
        <v>4825</v>
      </c>
      <c r="N86" s="422">
        <v>350</v>
      </c>
      <c r="O86" s="423">
        <v>5900</v>
      </c>
      <c r="P86" s="419">
        <v>615</v>
      </c>
      <c r="Q86" s="86">
        <v>999999999</v>
      </c>
      <c r="R86" s="86">
        <v>999999999</v>
      </c>
      <c r="S86" s="419">
        <v>925</v>
      </c>
      <c r="T86" s="419">
        <v>350</v>
      </c>
      <c r="U86" s="419">
        <v>1675</v>
      </c>
      <c r="V86" s="426">
        <v>620</v>
      </c>
      <c r="W86" s="428">
        <v>3475</v>
      </c>
      <c r="X86" s="428">
        <v>585</v>
      </c>
      <c r="Y86" s="419">
        <v>3401.69</v>
      </c>
      <c r="Z86" s="279">
        <f t="shared" si="8"/>
        <v>529.83026315789471</v>
      </c>
    </row>
    <row r="87" spans="2:36">
      <c r="B87" s="54">
        <v>14</v>
      </c>
      <c r="C87" s="419">
        <v>85</v>
      </c>
      <c r="D87" s="419">
        <f>69.5+3.74</f>
        <v>73.239999999999995</v>
      </c>
      <c r="E87" s="419">
        <v>430</v>
      </c>
      <c r="F87" s="419">
        <f>525+28</f>
        <v>553</v>
      </c>
      <c r="G87" s="419">
        <v>380</v>
      </c>
      <c r="H87" s="419">
        <f>525+28</f>
        <v>553</v>
      </c>
      <c r="I87" s="419">
        <v>985</v>
      </c>
      <c r="J87" s="419">
        <f>805+43</f>
        <v>848</v>
      </c>
      <c r="K87" s="86">
        <v>999999999</v>
      </c>
      <c r="L87" s="86">
        <v>999999999</v>
      </c>
      <c r="M87" s="419">
        <v>7300</v>
      </c>
      <c r="N87" s="422">
        <v>455</v>
      </c>
      <c r="O87" s="422">
        <v>8525</v>
      </c>
      <c r="P87" s="422">
        <v>805</v>
      </c>
      <c r="Q87" s="86">
        <v>999999999</v>
      </c>
      <c r="R87" s="86">
        <v>999999999</v>
      </c>
      <c r="S87" s="419">
        <v>1225</v>
      </c>
      <c r="T87" s="419">
        <v>455</v>
      </c>
      <c r="U87" s="426">
        <v>3075</v>
      </c>
      <c r="V87" s="426">
        <v>810</v>
      </c>
      <c r="W87" s="428">
        <v>5075</v>
      </c>
      <c r="X87" s="428">
        <v>705</v>
      </c>
      <c r="Y87" s="419">
        <v>4445.58</v>
      </c>
      <c r="Z87" s="279">
        <f>TREND(Z$73:Z$86,$B$73:$B$86,B87)</f>
        <v>626.97821095643599</v>
      </c>
    </row>
    <row r="88" spans="2:36">
      <c r="B88" s="54">
        <v>16</v>
      </c>
      <c r="C88" s="419">
        <v>114</v>
      </c>
      <c r="D88" s="419">
        <f>80.5+4.32</f>
        <v>84.82</v>
      </c>
      <c r="E88" s="419">
        <v>790</v>
      </c>
      <c r="F88" s="419">
        <f>695+37.5</f>
        <v>732.5</v>
      </c>
      <c r="G88" s="419">
        <v>670</v>
      </c>
      <c r="H88" s="419">
        <f>695+37.5</f>
        <v>732.5</v>
      </c>
      <c r="I88" s="419">
        <v>1200</v>
      </c>
      <c r="J88" s="419">
        <f>1050+56</f>
        <v>1106</v>
      </c>
      <c r="K88" s="86">
        <v>999999999</v>
      </c>
      <c r="L88" s="86">
        <v>999999999</v>
      </c>
      <c r="M88" s="419">
        <v>10200</v>
      </c>
      <c r="N88" s="422">
        <v>600</v>
      </c>
      <c r="O88" s="422">
        <v>8550</v>
      </c>
      <c r="P88" s="422">
        <v>1050</v>
      </c>
      <c r="Q88" s="86">
        <v>999999999</v>
      </c>
      <c r="R88" s="86">
        <v>999999999</v>
      </c>
      <c r="S88" s="419">
        <v>1600</v>
      </c>
      <c r="T88" s="419">
        <v>600</v>
      </c>
      <c r="U88" s="426">
        <v>4350</v>
      </c>
      <c r="V88" s="426">
        <v>1050</v>
      </c>
      <c r="W88" s="86">
        <v>999999999</v>
      </c>
      <c r="X88" s="86">
        <v>999999999</v>
      </c>
      <c r="Y88" s="419">
        <v>6191.38</v>
      </c>
      <c r="Z88" s="279">
        <f>TREND(Z$73:Z$86,$B$73:$B$86,B88)</f>
        <v>719.65320933334033</v>
      </c>
    </row>
    <row r="89" spans="2:36">
      <c r="B89" s="54">
        <v>18</v>
      </c>
      <c r="C89" s="419">
        <v>120</v>
      </c>
      <c r="D89" s="419">
        <f>95+5.1</f>
        <v>100.1</v>
      </c>
      <c r="E89" s="419">
        <v>1050</v>
      </c>
      <c r="F89" s="419">
        <f>835+45</f>
        <v>880</v>
      </c>
      <c r="G89" s="419">
        <v>955</v>
      </c>
      <c r="H89" s="419">
        <f>835+45</f>
        <v>880</v>
      </c>
      <c r="I89" s="419">
        <v>1875</v>
      </c>
      <c r="J89" s="419">
        <f>1300+70</f>
        <v>1370</v>
      </c>
      <c r="K89" s="86">
        <v>999999999</v>
      </c>
      <c r="L89" s="86">
        <v>999999999</v>
      </c>
      <c r="M89" s="419">
        <v>10700</v>
      </c>
      <c r="N89" s="422">
        <v>695</v>
      </c>
      <c r="O89" s="454">
        <v>10400</v>
      </c>
      <c r="P89" s="454">
        <v>805</v>
      </c>
      <c r="Q89" s="86">
        <v>999999999</v>
      </c>
      <c r="R89" s="86">
        <v>999999999</v>
      </c>
      <c r="S89" s="419">
        <v>2075</v>
      </c>
      <c r="T89" s="419">
        <v>695</v>
      </c>
      <c r="U89" s="202">
        <f xml:space="preserve"> 24.528*(B89)^2 - 144.77*(B89) + 223.68</f>
        <v>5564.8919999999998</v>
      </c>
      <c r="V89" s="202">
        <f>TREND($V$73:$V$88,$B$73:$B$88,B89)</f>
        <v>1073.3731699612799</v>
      </c>
      <c r="W89" s="86">
        <v>999999999</v>
      </c>
      <c r="X89" s="86">
        <v>999999999</v>
      </c>
      <c r="Y89" s="419">
        <v>8922.0499999999993</v>
      </c>
      <c r="Z89" s="279">
        <f>TREND(Z$73:Z$86,$B$73:$B$86,B89)</f>
        <v>812.32820771024467</v>
      </c>
    </row>
    <row r="90" spans="2:36">
      <c r="B90" s="54">
        <v>20</v>
      </c>
      <c r="C90" s="419">
        <v>146</v>
      </c>
      <c r="D90" s="419">
        <f>116+6.25</f>
        <v>122.25</v>
      </c>
      <c r="E90" s="419">
        <v>1500</v>
      </c>
      <c r="F90" s="419">
        <f>910+49</f>
        <v>959</v>
      </c>
      <c r="G90" s="419">
        <v>990</v>
      </c>
      <c r="H90" s="419">
        <f>910+49</f>
        <v>959</v>
      </c>
      <c r="I90" s="419">
        <v>2900</v>
      </c>
      <c r="J90" s="419">
        <f>1400+75</f>
        <v>1475</v>
      </c>
      <c r="K90" s="86">
        <v>999999999</v>
      </c>
      <c r="L90" s="86">
        <v>999999999</v>
      </c>
      <c r="M90" s="202">
        <f>TREND($M$86:$M$89,$B$86:$B$89,B90)</f>
        <v>13387.5</v>
      </c>
      <c r="N90" s="202">
        <f>TREND($N$86:$N$89,$B$86:$B$89,B90)</f>
        <v>820</v>
      </c>
      <c r="O90" s="452">
        <f>1.409*(B90)^3 + 2.3701*(B90)^2 + 31.065*(B90) + 105.57</f>
        <v>12946.91</v>
      </c>
      <c r="P90" s="452">
        <f>(P89+P91)/2</f>
        <v>1102.5</v>
      </c>
      <c r="Q90" s="86">
        <v>999999999</v>
      </c>
      <c r="R90" s="86">
        <v>999999999</v>
      </c>
      <c r="S90" s="419">
        <v>2550</v>
      </c>
      <c r="T90" s="419">
        <v>1050</v>
      </c>
      <c r="U90" s="202">
        <f xml:space="preserve"> 24.528*(B90)^2 - 144.77*(B90) + 223.68</f>
        <v>7139.48</v>
      </c>
      <c r="V90" s="202">
        <f>TREND($V$73:$V$88,$B$73:$B$88,B90)</f>
        <v>1197.0751222743024</v>
      </c>
      <c r="W90" s="86">
        <v>999999999</v>
      </c>
      <c r="X90" s="86">
        <v>999999999</v>
      </c>
      <c r="Y90" s="419">
        <v>11209.68</v>
      </c>
      <c r="Z90" s="279">
        <f>TREND(Z$73:Z$86,$B$73:$B$86,B90)</f>
        <v>905.00320608714912</v>
      </c>
    </row>
    <row r="91" spans="2:36">
      <c r="B91" s="54">
        <v>24</v>
      </c>
      <c r="C91" s="419">
        <v>186</v>
      </c>
      <c r="D91" s="419">
        <f>131+7</f>
        <v>138</v>
      </c>
      <c r="E91" s="419">
        <v>2000</v>
      </c>
      <c r="F91" s="419">
        <f>1025+55</f>
        <v>1080</v>
      </c>
      <c r="G91" s="419">
        <v>1500</v>
      </c>
      <c r="H91" s="419">
        <f>995+53.5</f>
        <v>1048.5</v>
      </c>
      <c r="I91" s="419">
        <v>3750</v>
      </c>
      <c r="J91" s="419">
        <f>1500+80</f>
        <v>1580</v>
      </c>
      <c r="K91" s="86">
        <v>999999999</v>
      </c>
      <c r="L91" s="86">
        <v>999999999</v>
      </c>
      <c r="M91" s="202">
        <f>TREND($M$86:$M$89,$B$86:$B$89,B91)</f>
        <v>17492.5</v>
      </c>
      <c r="N91" s="202">
        <f>TREND($N$86:$N$89,$B$86:$B$89,B91)</f>
        <v>1056</v>
      </c>
      <c r="O91" s="455">
        <v>19700</v>
      </c>
      <c r="P91" s="455">
        <v>1400</v>
      </c>
      <c r="Q91" s="86">
        <v>999999999</v>
      </c>
      <c r="R91" s="86">
        <v>999999999</v>
      </c>
      <c r="S91" s="419">
        <v>3575</v>
      </c>
      <c r="T91" s="419">
        <v>1400</v>
      </c>
      <c r="U91" s="202">
        <f xml:space="preserve"> 24.528*(B91)^2 - 144.77*(B91) + 223.68</f>
        <v>10877.327999999998</v>
      </c>
      <c r="V91" s="202">
        <f>TREND($V$73:$V$88,$B$73:$B$88,B91)</f>
        <v>1444.4790269003465</v>
      </c>
      <c r="W91" s="86">
        <v>999999999</v>
      </c>
      <c r="X91" s="86">
        <v>999999999</v>
      </c>
      <c r="Y91" s="419">
        <v>13497.32</v>
      </c>
      <c r="Z91" s="279">
        <f>TREND(Z$73:Z$86,$B$73:$B$86,B91)</f>
        <v>1090.3532028409579</v>
      </c>
    </row>
    <row r="92" spans="2:36">
      <c r="B92" s="54">
        <v>26</v>
      </c>
      <c r="C92" s="419">
        <v>345</v>
      </c>
      <c r="D92" s="419">
        <f>139+7.5</f>
        <v>146.5</v>
      </c>
      <c r="E92" s="202">
        <v>2500</v>
      </c>
      <c r="F92" s="202">
        <v>1200</v>
      </c>
      <c r="G92" s="419">
        <v>1650</v>
      </c>
      <c r="H92" s="419">
        <f>1225+66</f>
        <v>1291</v>
      </c>
      <c r="I92" s="419">
        <v>4125</v>
      </c>
      <c r="J92" s="419">
        <f>1900+102</f>
        <v>2002</v>
      </c>
      <c r="K92" s="86">
        <v>999999999</v>
      </c>
      <c r="L92" s="86">
        <v>999999999</v>
      </c>
      <c r="M92" s="202">
        <f>TREND($M$86:$M$89,$B$86:$B$89,B92)</f>
        <v>19545</v>
      </c>
      <c r="N92" s="202">
        <f>TREND($N$86:$N$89,$B$86:$B$89,B92)</f>
        <v>1174</v>
      </c>
      <c r="O92" s="452">
        <f>1.409*(B92)^3 + 2.3701*(B92)^2 + 31.065*(B92) + 105.57</f>
        <v>27280.031599999998</v>
      </c>
      <c r="P92" s="452">
        <f>TREND($P$73:$P$86,$B$73:$B$86,B92)</f>
        <v>1375.2977770353621</v>
      </c>
      <c r="Q92" s="86">
        <v>999999999</v>
      </c>
      <c r="R92" s="86">
        <v>999999999</v>
      </c>
      <c r="S92" s="202">
        <f xml:space="preserve"> 6.9524*(B92)^2 - 27.085*(B92) + 260.97</f>
        <v>4256.5824000000002</v>
      </c>
      <c r="T92" s="202">
        <f>2.6448*(B92)^2 - 10.137*(B92) + 110.22</f>
        <v>1634.5427999999999</v>
      </c>
      <c r="U92" s="202">
        <f xml:space="preserve"> 24.528*(B92)^2 - 144.77*(B92) + 223.68</f>
        <v>13040.588</v>
      </c>
      <c r="V92" s="202">
        <f>TREND($V$73:$V$88,$B$73:$B$88,B92)</f>
        <v>1568.180979213369</v>
      </c>
      <c r="W92" s="86">
        <v>999999999</v>
      </c>
      <c r="X92" s="86">
        <v>999999999</v>
      </c>
      <c r="Y92" s="86">
        <v>999999999</v>
      </c>
      <c r="Z92" s="281">
        <v>999999999</v>
      </c>
    </row>
    <row r="93" spans="2:36" ht="13.5" thickBot="1">
      <c r="B93" s="55">
        <v>30</v>
      </c>
      <c r="C93" s="420">
        <v>375</v>
      </c>
      <c r="D93" s="420">
        <f>174+9.35</f>
        <v>183.35</v>
      </c>
      <c r="E93" s="207">
        <v>3000</v>
      </c>
      <c r="F93" s="207">
        <v>1350</v>
      </c>
      <c r="G93" s="420">
        <v>1825</v>
      </c>
      <c r="H93" s="420">
        <f>2325+125</f>
        <v>2450</v>
      </c>
      <c r="I93" s="420">
        <v>4550</v>
      </c>
      <c r="J93" s="420">
        <f>3475+187</f>
        <v>3662</v>
      </c>
      <c r="K93" s="87">
        <v>999999999</v>
      </c>
      <c r="L93" s="87">
        <v>999999999</v>
      </c>
      <c r="M93" s="202">
        <f>TREND($M$86:$M$89,$B$86:$B$89,B93)</f>
        <v>23650</v>
      </c>
      <c r="N93" s="202">
        <f>TREND($N$86:$N$89,$B$86:$B$89,B93)</f>
        <v>1410</v>
      </c>
      <c r="O93" s="452">
        <f>1.409*(B93)^3 + 2.3701*(B93)^2 + 31.065*(B93) + 105.57</f>
        <v>41213.609999999993</v>
      </c>
      <c r="P93" s="453">
        <f>TREND($P$73:$P$86,$B$73:$B$86,B93)</f>
        <v>1589.6229826274673</v>
      </c>
      <c r="Q93" s="87">
        <v>999999999</v>
      </c>
      <c r="R93" s="87">
        <v>999999999</v>
      </c>
      <c r="S93" s="202">
        <f xml:space="preserve"> 6.9524*(B93)^2 - 27.085*(B93) + 260.97</f>
        <v>5705.58</v>
      </c>
      <c r="T93" s="202">
        <f>2.6448*(B93)^2 - 10.137*(B93) + 110.22</f>
        <v>2186.4299999999998</v>
      </c>
      <c r="U93" s="202">
        <f xml:space="preserve"> 24.528*(B93)^2 - 144.77*(B93) + 223.68</f>
        <v>17955.78</v>
      </c>
      <c r="V93" s="207">
        <f>TREND($V$73:$V$88,$B$73:$B$88,B93)</f>
        <v>1815.5848838394136</v>
      </c>
      <c r="W93" s="87">
        <v>999999999</v>
      </c>
      <c r="X93" s="87">
        <v>999999999</v>
      </c>
      <c r="Y93" s="87">
        <v>999999999</v>
      </c>
      <c r="Z93" s="294">
        <v>999999999</v>
      </c>
    </row>
    <row r="94" spans="2:36">
      <c r="B94" s="277"/>
      <c r="C94" s="59"/>
      <c r="D94" s="59"/>
      <c r="E94" s="59"/>
      <c r="F94" s="59"/>
      <c r="G94" s="59"/>
      <c r="H94" s="59"/>
      <c r="I94" s="59"/>
      <c r="J94" s="59"/>
      <c r="K94" s="59"/>
      <c r="L94" s="59"/>
      <c r="M94" s="59"/>
      <c r="N94" s="59"/>
      <c r="O94" s="286"/>
      <c r="P94" s="286"/>
      <c r="Q94" s="59"/>
      <c r="R94" s="59"/>
      <c r="S94" s="59"/>
      <c r="T94" s="59"/>
      <c r="U94" s="101"/>
      <c r="V94" s="101"/>
      <c r="W94" s="59"/>
      <c r="X94" s="286"/>
      <c r="Y94" s="286"/>
      <c r="Z94" s="286"/>
      <c r="AA94" s="101"/>
      <c r="AB94" s="101"/>
      <c r="AC94" s="286"/>
      <c r="AD94" s="286"/>
      <c r="AE94" s="286"/>
      <c r="AF94" s="286"/>
      <c r="AG94" s="101"/>
      <c r="AH94" s="101"/>
      <c r="AI94" s="101"/>
      <c r="AJ94" s="256"/>
    </row>
    <row r="95" spans="2:36" ht="13.5" thickBot="1">
      <c r="B95" s="287" t="s">
        <v>231</v>
      </c>
      <c r="C95" s="13"/>
      <c r="D95" s="13"/>
      <c r="E95" s="13"/>
      <c r="F95" s="13"/>
      <c r="G95" s="13"/>
      <c r="H95" s="13"/>
      <c r="I95" s="13" t="s">
        <v>232</v>
      </c>
      <c r="J95" s="13"/>
      <c r="K95" s="13"/>
      <c r="L95" s="13"/>
      <c r="M95" s="13"/>
      <c r="N95" s="59"/>
      <c r="P95" s="129" t="s">
        <v>158</v>
      </c>
      <c r="Q95" s="13"/>
      <c r="R95" s="80"/>
      <c r="S95" s="80"/>
      <c r="T95" s="80"/>
      <c r="U95" s="80"/>
      <c r="W95" s="95" t="s">
        <v>206</v>
      </c>
      <c r="X95" s="13"/>
      <c r="Y95" s="13"/>
      <c r="Z95" s="13"/>
      <c r="AA95" s="13"/>
      <c r="AB95" s="13"/>
      <c r="AC95" s="13"/>
      <c r="AD95" s="101"/>
      <c r="AE95" s="333" t="s">
        <v>246</v>
      </c>
      <c r="AF95" s="146"/>
      <c r="AG95" s="146"/>
      <c r="AH95" s="146"/>
      <c r="AI95" s="146"/>
      <c r="AJ95" s="256"/>
    </row>
    <row r="96" spans="2:36" ht="13.5" thickBot="1">
      <c r="B96" s="22" t="s">
        <v>234</v>
      </c>
      <c r="C96" s="147">
        <v>0.5</v>
      </c>
      <c r="D96" s="147">
        <v>1</v>
      </c>
      <c r="E96" s="147">
        <v>1.5</v>
      </c>
      <c r="F96" s="148">
        <v>2</v>
      </c>
      <c r="G96" s="13"/>
      <c r="H96" s="13"/>
      <c r="I96" s="22" t="s">
        <v>234</v>
      </c>
      <c r="J96" s="130">
        <v>0.5</v>
      </c>
      <c r="K96" s="130">
        <v>1</v>
      </c>
      <c r="L96" s="130">
        <v>1.5</v>
      </c>
      <c r="M96" s="131">
        <v>2</v>
      </c>
      <c r="N96" s="59"/>
      <c r="O96" s="133"/>
      <c r="P96" s="517" t="s">
        <v>157</v>
      </c>
      <c r="Q96" s="518"/>
      <c r="R96" s="518"/>
      <c r="S96" s="518"/>
      <c r="T96" s="518"/>
      <c r="U96" s="519"/>
      <c r="W96" s="243" t="s">
        <v>205</v>
      </c>
      <c r="X96" s="508" t="s">
        <v>69</v>
      </c>
      <c r="Y96" s="508"/>
      <c r="Z96" s="508"/>
      <c r="AA96" s="508" t="s">
        <v>223</v>
      </c>
      <c r="AB96" s="508"/>
      <c r="AC96" s="509"/>
      <c r="AD96" s="101"/>
      <c r="AE96" s="368" t="s">
        <v>205</v>
      </c>
      <c r="AF96" s="506" t="s">
        <v>69</v>
      </c>
      <c r="AG96" s="506"/>
      <c r="AH96" s="506" t="s">
        <v>223</v>
      </c>
      <c r="AI96" s="507"/>
      <c r="AJ96" s="256"/>
    </row>
    <row r="97" spans="2:36" ht="13.5" thickBot="1">
      <c r="B97" s="287" t="s">
        <v>233</v>
      </c>
      <c r="C97" s="290">
        <v>2</v>
      </c>
      <c r="D97" s="290">
        <v>3</v>
      </c>
      <c r="E97" s="290">
        <v>4</v>
      </c>
      <c r="F97" s="291">
        <v>5</v>
      </c>
      <c r="G97" s="13"/>
      <c r="H97" s="13"/>
      <c r="I97" s="287" t="s">
        <v>233</v>
      </c>
      <c r="J97" s="288">
        <v>2</v>
      </c>
      <c r="K97" s="288">
        <v>3</v>
      </c>
      <c r="L97" s="288">
        <v>4</v>
      </c>
      <c r="M97" s="289">
        <v>5</v>
      </c>
      <c r="N97" s="59"/>
      <c r="W97" s="64" t="s">
        <v>224</v>
      </c>
      <c r="X97" s="378" t="s">
        <v>54</v>
      </c>
      <c r="Y97" s="274" t="s">
        <v>222</v>
      </c>
      <c r="Z97" s="274" t="s">
        <v>84</v>
      </c>
      <c r="AA97" s="274" t="s">
        <v>54</v>
      </c>
      <c r="AB97" s="274" t="s">
        <v>222</v>
      </c>
      <c r="AC97" s="379" t="s">
        <v>84</v>
      </c>
      <c r="AD97" s="101"/>
      <c r="AE97" s="369"/>
      <c r="AF97" s="367" t="s">
        <v>54</v>
      </c>
      <c r="AG97" s="250" t="s">
        <v>222</v>
      </c>
      <c r="AH97" s="250" t="s">
        <v>54</v>
      </c>
      <c r="AI97" s="251" t="s">
        <v>222</v>
      </c>
      <c r="AJ97" s="256"/>
    </row>
    <row r="98" spans="2:36" ht="13.5" thickBot="1">
      <c r="B98" s="292">
        <v>0.375</v>
      </c>
      <c r="C98" s="457">
        <f>TREND(C99:C105,$B$99:$B$105,$B98)</f>
        <v>0.73125748502994004</v>
      </c>
      <c r="D98" s="457">
        <f>TREND(D99:D105,$B$99:$B$105,$B98)</f>
        <v>0.85908682634730527</v>
      </c>
      <c r="E98" s="457">
        <f>TREND(E99:E105,$B$99:$B$105,$B98)</f>
        <v>1.5795808383233532</v>
      </c>
      <c r="F98" s="457">
        <f>TREND(F99:F105,$B$99:$B$105,$B98)</f>
        <v>2.5455988023952099</v>
      </c>
      <c r="G98" s="13"/>
      <c r="H98" s="13"/>
      <c r="I98" s="293">
        <v>0.375</v>
      </c>
      <c r="J98" s="457">
        <f>TREND(J99:J105,$B$99:$B$105,$I98)</f>
        <v>2.4903143712574849</v>
      </c>
      <c r="K98" s="457">
        <f>TREND(K99:K105,$B$99:$B$105,$I98)</f>
        <v>2.5950598802395213</v>
      </c>
      <c r="L98" s="457">
        <f>TREND(L99:L105,$B$99:$B$105,$I98)</f>
        <v>2.7040419161676645</v>
      </c>
      <c r="M98" s="457">
        <f>TREND(M99:M105,$B$99:$B$105,$I98)</f>
        <v>2.8269910179640716</v>
      </c>
      <c r="N98" s="59"/>
      <c r="P98">
        <v>0</v>
      </c>
      <c r="Q98">
        <v>1</v>
      </c>
      <c r="R98">
        <v>2</v>
      </c>
      <c r="S98">
        <v>4</v>
      </c>
      <c r="T98">
        <v>6</v>
      </c>
      <c r="U98">
        <v>8</v>
      </c>
      <c r="W98" s="246">
        <v>0</v>
      </c>
      <c r="X98" s="432">
        <v>272</v>
      </c>
      <c r="Y98" s="432">
        <v>112</v>
      </c>
      <c r="Z98" s="433">
        <f t="shared" ref="Z98:Z119" si="10">SUM(X98:Y98)</f>
        <v>384</v>
      </c>
      <c r="AA98" s="434">
        <v>828.77122877122883</v>
      </c>
      <c r="AB98" s="432">
        <v>355</v>
      </c>
      <c r="AC98" s="435">
        <f>SUM(AA98:AB98)</f>
        <v>1183.7712287712288</v>
      </c>
      <c r="AD98" s="101"/>
      <c r="AF98" s="377"/>
      <c r="AG98" s="252"/>
      <c r="AH98" s="252"/>
      <c r="AI98" s="253"/>
      <c r="AJ98" s="256"/>
    </row>
    <row r="99" spans="2:36">
      <c r="B99" s="15">
        <v>0.5</v>
      </c>
      <c r="C99" s="417">
        <v>0.73</v>
      </c>
      <c r="D99" s="417">
        <v>0.89</v>
      </c>
      <c r="E99" s="417">
        <v>1.67</v>
      </c>
      <c r="F99" s="417">
        <v>2.6</v>
      </c>
      <c r="G99" s="13"/>
      <c r="H99" s="13"/>
      <c r="I99" s="15">
        <v>0.5</v>
      </c>
      <c r="J99" s="417">
        <v>2.48</v>
      </c>
      <c r="K99" s="417">
        <v>2.59</v>
      </c>
      <c r="L99" s="417">
        <v>2.7</v>
      </c>
      <c r="M99" s="417">
        <v>2.82</v>
      </c>
      <c r="N99" s="59"/>
      <c r="O99" s="134" t="s">
        <v>156</v>
      </c>
      <c r="P99" s="149">
        <v>2</v>
      </c>
      <c r="Q99" s="135">
        <v>3</v>
      </c>
      <c r="R99" s="135">
        <v>4</v>
      </c>
      <c r="S99" s="135">
        <v>5</v>
      </c>
      <c r="T99" s="136">
        <v>6</v>
      </c>
      <c r="U99" s="137">
        <v>7</v>
      </c>
      <c r="W99" s="376">
        <v>8.3333333333333329E-2</v>
      </c>
      <c r="X99" s="432">
        <v>455</v>
      </c>
      <c r="Y99" s="432">
        <v>112</v>
      </c>
      <c r="Z99" s="433">
        <f t="shared" si="10"/>
        <v>567</v>
      </c>
      <c r="AA99" s="434">
        <v>828.77122877122883</v>
      </c>
      <c r="AB99" s="432">
        <v>355</v>
      </c>
      <c r="AC99" s="435">
        <f t="shared" ref="AC99:AC107" si="11">SUM(AA99:AB99)</f>
        <v>1183.7712287712288</v>
      </c>
      <c r="AD99" s="101"/>
      <c r="AE99" s="376">
        <f t="shared" ref="AE99:AE110" si="12">W99</f>
        <v>8.3333333333333329E-2</v>
      </c>
      <c r="AF99" s="252">
        <f t="shared" ref="AF99:AF110" si="13">X99/$W99</f>
        <v>5460</v>
      </c>
      <c r="AG99" s="252">
        <f t="shared" ref="AG99:AG110" si="14">Y99/$W99</f>
        <v>1344</v>
      </c>
      <c r="AH99" s="252">
        <f t="shared" ref="AH99:AH110" si="15">AA99/$W99</f>
        <v>9945.254745254746</v>
      </c>
      <c r="AI99" s="253">
        <f t="shared" ref="AI99:AI110" si="16">AB99/$W99</f>
        <v>4260</v>
      </c>
      <c r="AJ99" s="256"/>
    </row>
    <row r="100" spans="2:36">
      <c r="B100" s="15">
        <v>0.75</v>
      </c>
      <c r="C100" s="417">
        <v>0.83</v>
      </c>
      <c r="D100" s="417">
        <v>0.97</v>
      </c>
      <c r="E100" s="417">
        <v>1.68</v>
      </c>
      <c r="F100" s="417">
        <v>2.68</v>
      </c>
      <c r="G100" s="13"/>
      <c r="H100" s="13"/>
      <c r="I100" s="15">
        <v>0.75</v>
      </c>
      <c r="J100" s="417">
        <v>2.59</v>
      </c>
      <c r="K100" s="417">
        <v>2.7</v>
      </c>
      <c r="L100" s="417">
        <v>2.82</v>
      </c>
      <c r="M100" s="417">
        <v>2.96</v>
      </c>
      <c r="N100" s="59"/>
      <c r="O100" s="138">
        <v>0</v>
      </c>
      <c r="P100" s="139">
        <v>1</v>
      </c>
      <c r="Q100" s="139">
        <v>1</v>
      </c>
      <c r="R100" s="139">
        <v>1.5</v>
      </c>
      <c r="S100" s="139">
        <v>1.5</v>
      </c>
      <c r="T100" s="139">
        <v>1.5</v>
      </c>
      <c r="U100" s="140">
        <v>1.5</v>
      </c>
      <c r="W100" s="375">
        <v>0.125</v>
      </c>
      <c r="X100" s="432">
        <v>555</v>
      </c>
      <c r="Y100" s="432">
        <v>135</v>
      </c>
      <c r="Z100" s="433">
        <f t="shared" si="10"/>
        <v>690</v>
      </c>
      <c r="AA100" s="434">
        <v>828.77122877122883</v>
      </c>
      <c r="AB100" s="432">
        <v>355</v>
      </c>
      <c r="AC100" s="435">
        <f t="shared" si="11"/>
        <v>1183.7712287712288</v>
      </c>
      <c r="AD100" s="101"/>
      <c r="AE100" s="375">
        <f t="shared" si="12"/>
        <v>0.125</v>
      </c>
      <c r="AF100" s="252">
        <f t="shared" si="13"/>
        <v>4440</v>
      </c>
      <c r="AG100" s="252">
        <f t="shared" si="14"/>
        <v>1080</v>
      </c>
      <c r="AH100" s="252">
        <f t="shared" si="15"/>
        <v>6630.1698301698307</v>
      </c>
      <c r="AI100" s="253">
        <f t="shared" si="16"/>
        <v>2840</v>
      </c>
      <c r="AJ100" s="256"/>
    </row>
    <row r="101" spans="2:36">
      <c r="B101" s="15">
        <v>1</v>
      </c>
      <c r="C101" s="417">
        <v>0.86</v>
      </c>
      <c r="D101" s="417">
        <v>1.04</v>
      </c>
      <c r="E101" s="417">
        <v>1.8</v>
      </c>
      <c r="F101" s="417">
        <v>2.86</v>
      </c>
      <c r="G101" s="13"/>
      <c r="H101" s="13"/>
      <c r="I101" s="15">
        <v>1</v>
      </c>
      <c r="J101" s="417">
        <v>2.7</v>
      </c>
      <c r="K101" s="417">
        <v>2.82</v>
      </c>
      <c r="L101" s="417">
        <v>2.96</v>
      </c>
      <c r="M101" s="417">
        <v>3.1</v>
      </c>
      <c r="N101" s="59"/>
      <c r="O101" s="138">
        <v>40</v>
      </c>
      <c r="P101" s="139">
        <v>0.5</v>
      </c>
      <c r="Q101" s="139">
        <v>0.5</v>
      </c>
      <c r="R101" s="139">
        <v>0.5</v>
      </c>
      <c r="S101" s="139">
        <v>1</v>
      </c>
      <c r="T101" s="141">
        <v>1</v>
      </c>
      <c r="U101" s="142">
        <v>1</v>
      </c>
      <c r="W101" s="375">
        <v>0.16666666666666666</v>
      </c>
      <c r="X101" s="432">
        <v>705</v>
      </c>
      <c r="Y101" s="432">
        <v>135</v>
      </c>
      <c r="Z101" s="433">
        <f t="shared" si="10"/>
        <v>840</v>
      </c>
      <c r="AA101" s="434">
        <v>828.77122877122883</v>
      </c>
      <c r="AB101" s="432">
        <v>355</v>
      </c>
      <c r="AC101" s="435">
        <f t="shared" si="11"/>
        <v>1183.7712287712288</v>
      </c>
      <c r="AD101" s="101"/>
      <c r="AE101" s="375">
        <f t="shared" si="12"/>
        <v>0.16666666666666666</v>
      </c>
      <c r="AF101" s="252">
        <f t="shared" si="13"/>
        <v>4230</v>
      </c>
      <c r="AG101" s="252">
        <f t="shared" si="14"/>
        <v>810</v>
      </c>
      <c r="AH101" s="252">
        <f t="shared" si="15"/>
        <v>4972.627372627373</v>
      </c>
      <c r="AI101" s="253">
        <f t="shared" si="16"/>
        <v>2130</v>
      </c>
      <c r="AJ101" s="256"/>
    </row>
    <row r="102" spans="2:36">
      <c r="B102" s="15">
        <v>1.25</v>
      </c>
      <c r="C102" s="417">
        <v>0.91</v>
      </c>
      <c r="D102" s="417">
        <v>1.1200000000000001</v>
      </c>
      <c r="E102" s="417">
        <v>1.96</v>
      </c>
      <c r="F102" s="417">
        <v>3.02</v>
      </c>
      <c r="G102" s="13"/>
      <c r="H102" s="13"/>
      <c r="I102" s="15">
        <v>1.25</v>
      </c>
      <c r="J102" s="417">
        <v>2.82</v>
      </c>
      <c r="K102" s="417">
        <v>2.96</v>
      </c>
      <c r="L102" s="417">
        <v>3.1</v>
      </c>
      <c r="M102" s="417">
        <v>3.27</v>
      </c>
      <c r="N102" s="59"/>
      <c r="O102" s="138">
        <v>60</v>
      </c>
      <c r="P102" s="139">
        <v>0</v>
      </c>
      <c r="Q102" s="139">
        <v>0</v>
      </c>
      <c r="R102" s="139">
        <v>0</v>
      </c>
      <c r="S102" s="139">
        <v>0</v>
      </c>
      <c r="T102" s="141">
        <v>0</v>
      </c>
      <c r="U102" s="142">
        <v>0</v>
      </c>
      <c r="W102" s="375">
        <v>0.25</v>
      </c>
      <c r="X102" s="432">
        <v>980</v>
      </c>
      <c r="Y102" s="432">
        <v>168</v>
      </c>
      <c r="Z102" s="433">
        <f t="shared" si="10"/>
        <v>1148</v>
      </c>
      <c r="AA102" s="434">
        <v>828.77122877122883</v>
      </c>
      <c r="AB102" s="432">
        <v>355</v>
      </c>
      <c r="AC102" s="435">
        <f t="shared" si="11"/>
        <v>1183.7712287712288</v>
      </c>
      <c r="AD102" s="101"/>
      <c r="AE102" s="375">
        <f t="shared" si="12"/>
        <v>0.25</v>
      </c>
      <c r="AF102" s="252">
        <f t="shared" si="13"/>
        <v>3920</v>
      </c>
      <c r="AG102" s="252">
        <f t="shared" si="14"/>
        <v>672</v>
      </c>
      <c r="AH102" s="252">
        <f t="shared" si="15"/>
        <v>3315.0849150849153</v>
      </c>
      <c r="AI102" s="253">
        <f t="shared" si="16"/>
        <v>1420</v>
      </c>
      <c r="AJ102" s="256"/>
    </row>
    <row r="103" spans="2:36">
      <c r="B103" s="15">
        <v>1.5</v>
      </c>
      <c r="C103" s="417">
        <v>1.05</v>
      </c>
      <c r="D103" s="417">
        <v>1.21</v>
      </c>
      <c r="E103" s="417">
        <v>2.0499999999999998</v>
      </c>
      <c r="F103" s="417">
        <v>3.14</v>
      </c>
      <c r="G103" s="13"/>
      <c r="H103" s="13"/>
      <c r="I103" s="15">
        <v>1.5</v>
      </c>
      <c r="J103" s="417">
        <v>2.82</v>
      </c>
      <c r="K103" s="417">
        <v>2.96</v>
      </c>
      <c r="L103" s="417">
        <v>3.1</v>
      </c>
      <c r="M103" s="417">
        <v>3.27</v>
      </c>
      <c r="N103" s="59"/>
      <c r="O103" s="138">
        <v>105</v>
      </c>
      <c r="P103" s="139">
        <v>1</v>
      </c>
      <c r="Q103" s="139">
        <v>1</v>
      </c>
      <c r="R103" s="139">
        <v>1</v>
      </c>
      <c r="S103" s="139">
        <v>1</v>
      </c>
      <c r="T103" s="141">
        <v>1.5</v>
      </c>
      <c r="U103" s="142">
        <v>1.5</v>
      </c>
      <c r="W103" s="375">
        <v>0.33333333333333331</v>
      </c>
      <c r="X103" s="432">
        <v>1025</v>
      </c>
      <c r="Y103" s="432">
        <v>168</v>
      </c>
      <c r="Z103" s="433">
        <f t="shared" si="10"/>
        <v>1193</v>
      </c>
      <c r="AA103" s="434">
        <v>828.77122877122883</v>
      </c>
      <c r="AB103" s="432">
        <v>355</v>
      </c>
      <c r="AC103" s="435">
        <f t="shared" si="11"/>
        <v>1183.7712287712288</v>
      </c>
      <c r="AD103" s="101"/>
      <c r="AE103" s="375">
        <f t="shared" si="12"/>
        <v>0.33333333333333331</v>
      </c>
      <c r="AF103" s="252">
        <f t="shared" si="13"/>
        <v>3075</v>
      </c>
      <c r="AG103" s="252">
        <f t="shared" si="14"/>
        <v>504</v>
      </c>
      <c r="AH103" s="252">
        <f t="shared" si="15"/>
        <v>2486.3136863136865</v>
      </c>
      <c r="AI103" s="253">
        <f t="shared" si="16"/>
        <v>1065</v>
      </c>
      <c r="AJ103" s="256"/>
    </row>
    <row r="104" spans="2:36">
      <c r="B104" s="15">
        <v>2</v>
      </c>
      <c r="C104" s="417">
        <v>1.1200000000000001</v>
      </c>
      <c r="D104" s="417">
        <v>1.31</v>
      </c>
      <c r="E104" s="417">
        <v>2.2599999999999998</v>
      </c>
      <c r="F104" s="417">
        <v>3.32</v>
      </c>
      <c r="G104" s="13"/>
      <c r="H104" s="13"/>
      <c r="I104" s="15">
        <v>2</v>
      </c>
      <c r="J104" s="417">
        <v>2.96</v>
      </c>
      <c r="K104" s="417">
        <v>3.1</v>
      </c>
      <c r="L104" s="417">
        <v>3.27</v>
      </c>
      <c r="M104" s="417">
        <v>3.45</v>
      </c>
      <c r="N104" s="59"/>
      <c r="O104" s="138">
        <v>140</v>
      </c>
      <c r="P104" s="139">
        <v>1.5</v>
      </c>
      <c r="Q104" s="139">
        <v>1.5</v>
      </c>
      <c r="R104" s="139">
        <v>1.5</v>
      </c>
      <c r="S104" s="139">
        <v>1.5</v>
      </c>
      <c r="T104" s="139">
        <v>1.5</v>
      </c>
      <c r="U104" s="140">
        <v>1.5</v>
      </c>
      <c r="W104" s="375">
        <v>0.5</v>
      </c>
      <c r="X104" s="432">
        <v>1175</v>
      </c>
      <c r="Y104" s="432">
        <v>168</v>
      </c>
      <c r="Z104" s="433">
        <f t="shared" si="10"/>
        <v>1343</v>
      </c>
      <c r="AA104" s="434">
        <v>828.77122877122883</v>
      </c>
      <c r="AB104" s="432">
        <v>355</v>
      </c>
      <c r="AC104" s="435">
        <f t="shared" si="11"/>
        <v>1183.7712287712288</v>
      </c>
      <c r="AD104" s="101"/>
      <c r="AE104" s="375">
        <f t="shared" si="12"/>
        <v>0.5</v>
      </c>
      <c r="AF104" s="252">
        <f t="shared" si="13"/>
        <v>2350</v>
      </c>
      <c r="AG104" s="252">
        <f t="shared" si="14"/>
        <v>336</v>
      </c>
      <c r="AH104" s="252">
        <f t="shared" si="15"/>
        <v>1657.5424575424577</v>
      </c>
      <c r="AI104" s="253">
        <f t="shared" si="16"/>
        <v>710</v>
      </c>
      <c r="AJ104" s="256"/>
    </row>
    <row r="105" spans="2:36">
      <c r="B105" s="15">
        <v>2.5</v>
      </c>
      <c r="C105" s="417">
        <v>1.17</v>
      </c>
      <c r="D105" s="417">
        <v>1.49</v>
      </c>
      <c r="E105" s="417">
        <v>2.42</v>
      </c>
      <c r="F105" s="417">
        <v>3.57</v>
      </c>
      <c r="G105" s="13"/>
      <c r="H105" s="13"/>
      <c r="I105" s="15">
        <v>2.5</v>
      </c>
      <c r="J105" s="417">
        <v>3.1</v>
      </c>
      <c r="K105" s="417">
        <v>3.27</v>
      </c>
      <c r="L105" s="417">
        <v>3.45</v>
      </c>
      <c r="M105" s="417">
        <v>3.65</v>
      </c>
      <c r="N105" s="59"/>
      <c r="O105" s="138">
        <v>200</v>
      </c>
      <c r="P105" s="139">
        <v>1.5</v>
      </c>
      <c r="Q105" s="139">
        <v>1.5</v>
      </c>
      <c r="R105" s="139">
        <v>1.5</v>
      </c>
      <c r="S105" s="139">
        <v>2</v>
      </c>
      <c r="T105" s="139">
        <v>2</v>
      </c>
      <c r="U105" s="140">
        <v>3.5</v>
      </c>
      <c r="W105" s="375">
        <v>0.75</v>
      </c>
      <c r="X105" s="432">
        <v>1700</v>
      </c>
      <c r="Y105" s="432">
        <v>168</v>
      </c>
      <c r="Z105" s="433">
        <f t="shared" si="10"/>
        <v>1868</v>
      </c>
      <c r="AA105" s="434">
        <v>868.38161838161841</v>
      </c>
      <c r="AB105" s="432">
        <v>355</v>
      </c>
      <c r="AC105" s="435">
        <f t="shared" si="11"/>
        <v>1223.3816183816184</v>
      </c>
      <c r="AD105" s="101"/>
      <c r="AE105" s="375">
        <f t="shared" si="12"/>
        <v>0.75</v>
      </c>
      <c r="AF105" s="252">
        <f t="shared" si="13"/>
        <v>2266.6666666666665</v>
      </c>
      <c r="AG105" s="252">
        <f t="shared" si="14"/>
        <v>224</v>
      </c>
      <c r="AH105" s="252">
        <f t="shared" si="15"/>
        <v>1157.8421578421578</v>
      </c>
      <c r="AI105" s="253">
        <f t="shared" si="16"/>
        <v>473.33333333333331</v>
      </c>
      <c r="AJ105" s="256"/>
    </row>
    <row r="106" spans="2:36">
      <c r="B106" s="54">
        <v>3</v>
      </c>
      <c r="C106" s="436">
        <f>TREND($C$99:$C$105,$B$99:$B$105,B106)</f>
        <v>1.3235329341317366</v>
      </c>
      <c r="D106" s="419">
        <v>1.59</v>
      </c>
      <c r="E106" s="417">
        <v>2.54</v>
      </c>
      <c r="F106" s="417">
        <v>3.79</v>
      </c>
      <c r="G106" s="13"/>
      <c r="H106" s="13"/>
      <c r="I106" s="54">
        <v>3</v>
      </c>
      <c r="J106" s="436">
        <f>TREND($J$99:$J$105,$I$99:$I$105,I106)</f>
        <v>3.2683832335329344</v>
      </c>
      <c r="K106" s="419">
        <v>3.45</v>
      </c>
      <c r="L106" s="417">
        <v>3.65</v>
      </c>
      <c r="M106" s="417">
        <v>3.88</v>
      </c>
      <c r="N106" s="59"/>
      <c r="O106" s="138">
        <v>250</v>
      </c>
      <c r="P106" s="139">
        <v>2</v>
      </c>
      <c r="Q106" s="139">
        <v>2</v>
      </c>
      <c r="R106" s="139">
        <v>2.5</v>
      </c>
      <c r="S106" s="139">
        <v>2.5</v>
      </c>
      <c r="T106" s="139">
        <v>3.5</v>
      </c>
      <c r="U106" s="140">
        <v>3.5</v>
      </c>
      <c r="W106" s="246">
        <v>1</v>
      </c>
      <c r="X106" s="432">
        <v>1550</v>
      </c>
      <c r="Y106" s="432">
        <v>224</v>
      </c>
      <c r="Z106" s="433">
        <f t="shared" si="10"/>
        <v>1774</v>
      </c>
      <c r="AA106" s="434">
        <v>1465.5844155844156</v>
      </c>
      <c r="AB106" s="432">
        <v>355</v>
      </c>
      <c r="AC106" s="435">
        <f t="shared" si="11"/>
        <v>1820.5844155844156</v>
      </c>
      <c r="AD106" s="101"/>
      <c r="AE106" s="246">
        <f t="shared" si="12"/>
        <v>1</v>
      </c>
      <c r="AF106" s="252">
        <f t="shared" si="13"/>
        <v>1550</v>
      </c>
      <c r="AG106" s="252">
        <f t="shared" si="14"/>
        <v>224</v>
      </c>
      <c r="AH106" s="252">
        <f t="shared" si="15"/>
        <v>1465.5844155844156</v>
      </c>
      <c r="AI106" s="253">
        <f t="shared" si="16"/>
        <v>355</v>
      </c>
      <c r="AJ106" s="256"/>
    </row>
    <row r="107" spans="2:36" ht="13.5" thickBot="1">
      <c r="B107" s="54">
        <v>4</v>
      </c>
      <c r="C107" s="436">
        <f t="shared" ref="C107:C119" si="17">TREND($C$99:$C$105,$B$99:$B$105,B107)</f>
        <v>1.5491616766467065</v>
      </c>
      <c r="D107" s="419">
        <v>2.11</v>
      </c>
      <c r="E107" s="417">
        <v>2.88</v>
      </c>
      <c r="F107" s="417">
        <v>4.42</v>
      </c>
      <c r="G107" s="13"/>
      <c r="H107" s="13"/>
      <c r="I107" s="54">
        <v>4</v>
      </c>
      <c r="J107" s="436">
        <f t="shared" ref="J107:J119" si="18">TREND($J$99:$J$105,$I$99:$I$105,I107)</f>
        <v>3.5647904191616764</v>
      </c>
      <c r="K107" s="419">
        <v>4.1399999999999997</v>
      </c>
      <c r="L107" s="417">
        <v>4.43</v>
      </c>
      <c r="M107" s="417">
        <v>4.78</v>
      </c>
      <c r="N107" s="59"/>
      <c r="O107" s="143">
        <v>350</v>
      </c>
      <c r="P107" s="144">
        <v>2.5</v>
      </c>
      <c r="Q107" s="144">
        <v>2.5</v>
      </c>
      <c r="R107" s="144">
        <v>2.5</v>
      </c>
      <c r="S107" s="144">
        <v>3</v>
      </c>
      <c r="T107" s="144">
        <v>3.5</v>
      </c>
      <c r="U107" s="145">
        <v>3.5</v>
      </c>
      <c r="V107" s="101"/>
      <c r="W107" s="246">
        <v>1.5</v>
      </c>
      <c r="X107" s="432">
        <v>1825</v>
      </c>
      <c r="Y107" s="432">
        <v>224</v>
      </c>
      <c r="Z107" s="433">
        <f t="shared" si="10"/>
        <v>2049</v>
      </c>
      <c r="AA107" s="434">
        <v>1465.5844155844156</v>
      </c>
      <c r="AB107" s="432">
        <v>355</v>
      </c>
      <c r="AC107" s="435">
        <f t="shared" si="11"/>
        <v>1820.5844155844156</v>
      </c>
      <c r="AD107" s="101"/>
      <c r="AE107" s="246">
        <f t="shared" si="12"/>
        <v>1.5</v>
      </c>
      <c r="AF107" s="252">
        <f t="shared" si="13"/>
        <v>1216.6666666666667</v>
      </c>
      <c r="AG107" s="252">
        <f t="shared" si="14"/>
        <v>149.33333333333334</v>
      </c>
      <c r="AH107" s="252">
        <f t="shared" si="15"/>
        <v>977.05627705627705</v>
      </c>
      <c r="AI107" s="253">
        <f t="shared" si="16"/>
        <v>236.66666666666666</v>
      </c>
      <c r="AJ107" s="256"/>
    </row>
    <row r="108" spans="2:36">
      <c r="B108" s="54">
        <v>5</v>
      </c>
      <c r="C108" s="436">
        <f t="shared" si="17"/>
        <v>1.7747904191616768</v>
      </c>
      <c r="D108" s="419">
        <v>2.38</v>
      </c>
      <c r="E108" s="417">
        <v>3.23</v>
      </c>
      <c r="F108" s="417">
        <v>5.05</v>
      </c>
      <c r="G108" s="13"/>
      <c r="H108" s="13"/>
      <c r="I108" s="54">
        <v>5</v>
      </c>
      <c r="J108" s="436">
        <f t="shared" si="18"/>
        <v>3.8611976047904193</v>
      </c>
      <c r="K108" s="419">
        <v>4.43</v>
      </c>
      <c r="L108" s="417">
        <v>4.78</v>
      </c>
      <c r="M108" s="417">
        <v>5.15</v>
      </c>
      <c r="N108" s="59"/>
      <c r="V108" s="101"/>
      <c r="W108" s="246">
        <v>2</v>
      </c>
      <c r="X108" s="432">
        <v>1900</v>
      </c>
      <c r="Y108" s="432">
        <v>292</v>
      </c>
      <c r="Z108" s="433">
        <f t="shared" si="10"/>
        <v>2192</v>
      </c>
      <c r="AA108" s="434">
        <v>1525</v>
      </c>
      <c r="AB108" s="432">
        <v>455</v>
      </c>
      <c r="AC108" s="435">
        <f>SUM(AA108:AB108)</f>
        <v>1980</v>
      </c>
      <c r="AD108" s="101"/>
      <c r="AE108" s="246">
        <f t="shared" si="12"/>
        <v>2</v>
      </c>
      <c r="AF108" s="252">
        <f t="shared" si="13"/>
        <v>950</v>
      </c>
      <c r="AG108" s="252">
        <f t="shared" si="14"/>
        <v>146</v>
      </c>
      <c r="AH108" s="252">
        <f t="shared" si="15"/>
        <v>762.5</v>
      </c>
      <c r="AI108" s="253">
        <f t="shared" si="16"/>
        <v>227.5</v>
      </c>
      <c r="AJ108" s="256"/>
    </row>
    <row r="109" spans="2:36">
      <c r="B109" s="54">
        <v>6</v>
      </c>
      <c r="C109" s="436">
        <f t="shared" si="17"/>
        <v>2.0004191616766467</v>
      </c>
      <c r="D109" s="419">
        <v>2.52</v>
      </c>
      <c r="E109" s="417">
        <v>3.41</v>
      </c>
      <c r="F109" s="417">
        <v>5.2</v>
      </c>
      <c r="G109" s="13"/>
      <c r="H109" s="13"/>
      <c r="I109" s="54">
        <v>6</v>
      </c>
      <c r="J109" s="436">
        <f t="shared" si="18"/>
        <v>4.1576047904191622</v>
      </c>
      <c r="K109" s="419">
        <v>5.15</v>
      </c>
      <c r="L109" s="417">
        <v>5.65</v>
      </c>
      <c r="M109" s="417">
        <v>6.2</v>
      </c>
      <c r="N109" s="59"/>
      <c r="V109" s="101"/>
      <c r="W109" s="246">
        <v>3</v>
      </c>
      <c r="X109" s="432">
        <v>2350</v>
      </c>
      <c r="Y109" s="432">
        <v>375</v>
      </c>
      <c r="Z109" s="433">
        <f t="shared" si="10"/>
        <v>2725</v>
      </c>
      <c r="AA109" s="434">
        <v>1675</v>
      </c>
      <c r="AB109" s="432">
        <v>455</v>
      </c>
      <c r="AC109" s="435">
        <f t="shared" ref="AC109:AC119" si="19">SUM(AA109:AB109)</f>
        <v>2130</v>
      </c>
      <c r="AD109" s="101"/>
      <c r="AE109" s="246">
        <f t="shared" si="12"/>
        <v>3</v>
      </c>
      <c r="AF109" s="252">
        <f t="shared" si="13"/>
        <v>783.33333333333337</v>
      </c>
      <c r="AG109" s="252">
        <f t="shared" si="14"/>
        <v>125</v>
      </c>
      <c r="AH109" s="252">
        <f t="shared" si="15"/>
        <v>558.33333333333337</v>
      </c>
      <c r="AI109" s="253">
        <f t="shared" si="16"/>
        <v>151.66666666666666</v>
      </c>
      <c r="AJ109" s="256"/>
    </row>
    <row r="110" spans="2:36">
      <c r="B110" s="54">
        <v>8</v>
      </c>
      <c r="C110" s="436">
        <f t="shared" si="17"/>
        <v>2.4516766467065869</v>
      </c>
      <c r="D110" s="419">
        <v>4.12</v>
      </c>
      <c r="E110" s="417">
        <v>4.78</v>
      </c>
      <c r="F110" s="417">
        <v>6.35</v>
      </c>
      <c r="G110" s="13"/>
      <c r="H110" s="13"/>
      <c r="I110" s="54">
        <v>8</v>
      </c>
      <c r="J110" s="436">
        <f t="shared" si="18"/>
        <v>4.7504191616766462</v>
      </c>
      <c r="K110" s="419">
        <v>6.2</v>
      </c>
      <c r="L110" s="417">
        <v>6.9</v>
      </c>
      <c r="M110" s="417">
        <v>7.75</v>
      </c>
      <c r="N110" s="59"/>
      <c r="V110" s="101"/>
      <c r="W110" s="246">
        <v>5</v>
      </c>
      <c r="X110" s="431">
        <v>2925</v>
      </c>
      <c r="Y110" s="431">
        <v>395</v>
      </c>
      <c r="Z110" s="433">
        <f t="shared" si="10"/>
        <v>3320</v>
      </c>
      <c r="AA110" s="434">
        <v>1975</v>
      </c>
      <c r="AB110" s="432">
        <v>545</v>
      </c>
      <c r="AC110" s="435">
        <f t="shared" si="19"/>
        <v>2520</v>
      </c>
      <c r="AD110" s="101"/>
      <c r="AE110" s="246">
        <f t="shared" si="12"/>
        <v>5</v>
      </c>
      <c r="AF110" s="252">
        <f t="shared" si="13"/>
        <v>585</v>
      </c>
      <c r="AG110" s="252">
        <f t="shared" si="14"/>
        <v>79</v>
      </c>
      <c r="AH110" s="252">
        <f t="shared" si="15"/>
        <v>395</v>
      </c>
      <c r="AI110" s="253">
        <f t="shared" si="16"/>
        <v>109</v>
      </c>
      <c r="AJ110" s="256"/>
    </row>
    <row r="111" spans="2:36">
      <c r="B111" s="54">
        <v>10</v>
      </c>
      <c r="C111" s="436">
        <f t="shared" si="17"/>
        <v>2.9029341317365271</v>
      </c>
      <c r="D111" s="419">
        <v>4.37</v>
      </c>
      <c r="E111" s="419">
        <v>5.15</v>
      </c>
      <c r="F111" s="419">
        <v>7.6</v>
      </c>
      <c r="G111" s="13"/>
      <c r="H111" s="13"/>
      <c r="I111" s="54">
        <v>10</v>
      </c>
      <c r="J111" s="436">
        <f t="shared" si="18"/>
        <v>5.3432335329341321</v>
      </c>
      <c r="K111" s="419">
        <v>6.9</v>
      </c>
      <c r="L111" s="419">
        <v>7.75</v>
      </c>
      <c r="M111" s="419">
        <v>8.85</v>
      </c>
      <c r="N111" s="59"/>
      <c r="O111" s="286"/>
      <c r="P111" s="286"/>
      <c r="Q111" s="59"/>
      <c r="R111" s="59"/>
      <c r="S111" s="59"/>
      <c r="T111" s="59"/>
      <c r="U111" s="101"/>
      <c r="V111" s="101"/>
      <c r="W111" s="246">
        <v>7.5</v>
      </c>
      <c r="X111" s="432">
        <v>5800</v>
      </c>
      <c r="Y111" s="432">
        <v>515</v>
      </c>
      <c r="Z111" s="433">
        <f t="shared" si="10"/>
        <v>6315</v>
      </c>
      <c r="AA111" s="434">
        <v>1975</v>
      </c>
      <c r="AB111" s="432">
        <v>545</v>
      </c>
      <c r="AC111" s="435">
        <f t="shared" si="19"/>
        <v>2520</v>
      </c>
      <c r="AD111" s="286"/>
      <c r="AE111" s="246">
        <f t="shared" ref="AE111:AE120" si="20">W111</f>
        <v>7.5</v>
      </c>
      <c r="AF111" s="252">
        <f>X111/$W111</f>
        <v>773.33333333333337</v>
      </c>
      <c r="AG111" s="252">
        <f>Y111/$W111</f>
        <v>68.666666666666671</v>
      </c>
      <c r="AH111" s="252">
        <f>AA111/$W111</f>
        <v>263.33333333333331</v>
      </c>
      <c r="AI111" s="253">
        <f>AB111/$W111</f>
        <v>72.666666666666671</v>
      </c>
      <c r="AJ111" s="256"/>
    </row>
    <row r="112" spans="2:36">
      <c r="B112" s="54">
        <v>12</v>
      </c>
      <c r="C112" s="436">
        <f t="shared" si="17"/>
        <v>3.3541916167664669</v>
      </c>
      <c r="D112" s="419">
        <v>4.76</v>
      </c>
      <c r="E112" s="419">
        <v>5.85</v>
      </c>
      <c r="F112" s="419">
        <v>8.5</v>
      </c>
      <c r="G112" s="13"/>
      <c r="H112" s="13"/>
      <c r="I112" s="54">
        <v>12</v>
      </c>
      <c r="J112" s="436">
        <f t="shared" si="18"/>
        <v>5.936047904191617</v>
      </c>
      <c r="K112" s="419">
        <v>7.75</v>
      </c>
      <c r="L112" s="419">
        <v>8.3000000000000007</v>
      </c>
      <c r="M112" s="419">
        <v>9.5500000000000007</v>
      </c>
      <c r="N112" s="59"/>
      <c r="O112" s="286"/>
      <c r="P112" s="286"/>
      <c r="Q112" s="59"/>
      <c r="R112" s="59"/>
      <c r="S112" s="59"/>
      <c r="T112" s="59"/>
      <c r="U112" s="101"/>
      <c r="V112" s="101"/>
      <c r="W112" s="246">
        <v>15</v>
      </c>
      <c r="X112" s="432">
        <v>7025</v>
      </c>
      <c r="Y112" s="432">
        <v>655</v>
      </c>
      <c r="Z112" s="433">
        <f t="shared" si="10"/>
        <v>7680</v>
      </c>
      <c r="AA112" s="434">
        <v>3375</v>
      </c>
      <c r="AB112" s="432">
        <v>820</v>
      </c>
      <c r="AC112" s="435">
        <f t="shared" si="19"/>
        <v>4195</v>
      </c>
      <c r="AD112" s="286"/>
      <c r="AE112" s="246">
        <f t="shared" si="20"/>
        <v>15</v>
      </c>
      <c r="AF112" s="252">
        <f t="shared" ref="AF112:AF119" si="21">X112/$W112</f>
        <v>468.33333333333331</v>
      </c>
      <c r="AG112" s="252">
        <f t="shared" ref="AG112:AG119" si="22">Y112/$W112</f>
        <v>43.666666666666664</v>
      </c>
      <c r="AH112" s="252">
        <f t="shared" ref="AH112:AH119" si="23">AA112/$W112</f>
        <v>225</v>
      </c>
      <c r="AI112" s="253">
        <f t="shared" ref="AI112:AI119" si="24">AB112/$W112</f>
        <v>54.666666666666664</v>
      </c>
      <c r="AJ112" s="256"/>
    </row>
    <row r="113" spans="2:36">
      <c r="B113" s="54">
        <v>14</v>
      </c>
      <c r="C113" s="436">
        <f t="shared" si="17"/>
        <v>3.8054491017964072</v>
      </c>
      <c r="D113" s="419">
        <v>5.5</v>
      </c>
      <c r="E113" s="419">
        <v>6.7</v>
      </c>
      <c r="F113" s="419">
        <v>10.55</v>
      </c>
      <c r="G113" s="13"/>
      <c r="H113" s="13"/>
      <c r="I113" s="54">
        <v>14</v>
      </c>
      <c r="J113" s="436">
        <f t="shared" si="18"/>
        <v>6.5288622754491019</v>
      </c>
      <c r="K113" s="419">
        <v>7.75</v>
      </c>
      <c r="L113" s="419">
        <v>8.85</v>
      </c>
      <c r="M113" s="419">
        <v>10.35</v>
      </c>
      <c r="N113" s="59"/>
      <c r="O113" s="286"/>
      <c r="P113" s="286"/>
      <c r="Q113" s="59"/>
      <c r="R113" s="59"/>
      <c r="S113" s="59"/>
      <c r="T113" s="59"/>
      <c r="U113" s="101"/>
      <c r="V113" s="101"/>
      <c r="W113" s="246">
        <v>20</v>
      </c>
      <c r="X113" s="431">
        <v>7250</v>
      </c>
      <c r="Y113" s="431">
        <v>680</v>
      </c>
      <c r="Z113" s="433">
        <f t="shared" si="10"/>
        <v>7930</v>
      </c>
      <c r="AA113" s="434">
        <v>3925</v>
      </c>
      <c r="AB113" s="432">
        <v>1100</v>
      </c>
      <c r="AC113" s="435">
        <f t="shared" si="19"/>
        <v>5025</v>
      </c>
      <c r="AD113" s="286"/>
      <c r="AE113" s="246">
        <f t="shared" si="20"/>
        <v>20</v>
      </c>
      <c r="AF113" s="252">
        <f t="shared" si="21"/>
        <v>362.5</v>
      </c>
      <c r="AG113" s="252">
        <f t="shared" si="22"/>
        <v>34</v>
      </c>
      <c r="AH113" s="252">
        <f t="shared" si="23"/>
        <v>196.25</v>
      </c>
      <c r="AI113" s="253">
        <f t="shared" si="24"/>
        <v>55</v>
      </c>
      <c r="AJ113" s="256"/>
    </row>
    <row r="114" spans="2:36">
      <c r="B114" s="54">
        <v>16</v>
      </c>
      <c r="C114" s="436">
        <f t="shared" si="17"/>
        <v>4.2567065868263469</v>
      </c>
      <c r="D114" s="419">
        <v>7</v>
      </c>
      <c r="E114" s="419">
        <v>8.75</v>
      </c>
      <c r="F114" s="419">
        <v>11.6</v>
      </c>
      <c r="G114" s="13"/>
      <c r="H114" s="13"/>
      <c r="I114" s="54">
        <v>16</v>
      </c>
      <c r="J114" s="436">
        <f t="shared" si="18"/>
        <v>7.1216766467065868</v>
      </c>
      <c r="K114" s="419">
        <v>8.85</v>
      </c>
      <c r="L114" s="419">
        <v>9.5500000000000007</v>
      </c>
      <c r="M114" s="419">
        <v>11.3</v>
      </c>
      <c r="N114" s="59"/>
      <c r="O114" s="286"/>
      <c r="P114" s="286"/>
      <c r="Q114" s="59"/>
      <c r="R114" s="59"/>
      <c r="S114" s="59"/>
      <c r="T114" s="59"/>
      <c r="U114" s="101"/>
      <c r="V114" s="101"/>
      <c r="W114" s="246">
        <v>25</v>
      </c>
      <c r="X114" s="431">
        <v>9475</v>
      </c>
      <c r="Y114" s="431">
        <v>870</v>
      </c>
      <c r="Z114" s="433">
        <f t="shared" si="10"/>
        <v>10345</v>
      </c>
      <c r="AA114" s="434">
        <v>4775</v>
      </c>
      <c r="AB114" s="432">
        <v>1100</v>
      </c>
      <c r="AC114" s="435">
        <f t="shared" si="19"/>
        <v>5875</v>
      </c>
      <c r="AD114" s="286"/>
      <c r="AE114" s="246">
        <f t="shared" si="20"/>
        <v>25</v>
      </c>
      <c r="AF114" s="252">
        <f t="shared" si="21"/>
        <v>379</v>
      </c>
      <c r="AG114" s="252">
        <f t="shared" si="22"/>
        <v>34.799999999999997</v>
      </c>
      <c r="AH114" s="252">
        <f t="shared" si="23"/>
        <v>191</v>
      </c>
      <c r="AI114" s="253">
        <f t="shared" si="24"/>
        <v>44</v>
      </c>
      <c r="AJ114" s="256"/>
    </row>
    <row r="115" spans="2:36">
      <c r="B115" s="54">
        <v>18</v>
      </c>
      <c r="C115" s="436">
        <f t="shared" si="17"/>
        <v>4.7079640718562867</v>
      </c>
      <c r="D115" s="419">
        <v>7.75</v>
      </c>
      <c r="E115" s="419">
        <v>9.85</v>
      </c>
      <c r="F115" s="419">
        <v>12.95</v>
      </c>
      <c r="G115" s="13"/>
      <c r="H115" s="13"/>
      <c r="I115" s="54">
        <v>18</v>
      </c>
      <c r="J115" s="436">
        <f t="shared" si="18"/>
        <v>7.7144910179640718</v>
      </c>
      <c r="K115" s="419">
        <v>8.85</v>
      </c>
      <c r="L115" s="419">
        <v>10.35</v>
      </c>
      <c r="M115" s="419">
        <v>12.4</v>
      </c>
      <c r="N115" s="59"/>
      <c r="O115" s="286"/>
      <c r="P115" s="286"/>
      <c r="Q115" s="59"/>
      <c r="R115" s="59"/>
      <c r="S115" s="59"/>
      <c r="T115" s="59"/>
      <c r="U115" s="101"/>
      <c r="W115" s="246">
        <v>40</v>
      </c>
      <c r="X115" s="431">
        <v>11900</v>
      </c>
      <c r="Y115" s="431">
        <v>1000</v>
      </c>
      <c r="Z115" s="433">
        <f t="shared" si="10"/>
        <v>12900</v>
      </c>
      <c r="AA115" s="434">
        <v>7650</v>
      </c>
      <c r="AB115" s="432">
        <v>1375</v>
      </c>
      <c r="AC115" s="435">
        <f t="shared" si="19"/>
        <v>9025</v>
      </c>
      <c r="AD115" s="286"/>
      <c r="AE115" s="246">
        <f t="shared" si="20"/>
        <v>40</v>
      </c>
      <c r="AF115" s="252">
        <f t="shared" si="21"/>
        <v>297.5</v>
      </c>
      <c r="AG115" s="252">
        <f t="shared" si="22"/>
        <v>25</v>
      </c>
      <c r="AH115" s="252">
        <f t="shared" si="23"/>
        <v>191.25</v>
      </c>
      <c r="AI115" s="253">
        <f t="shared" si="24"/>
        <v>34.375</v>
      </c>
      <c r="AJ115" s="256"/>
    </row>
    <row r="116" spans="2:36">
      <c r="B116" s="54">
        <v>20</v>
      </c>
      <c r="C116" s="436">
        <f t="shared" si="17"/>
        <v>5.1592215568862274</v>
      </c>
      <c r="D116" s="419">
        <v>8.65</v>
      </c>
      <c r="E116" s="419">
        <v>10.050000000000001</v>
      </c>
      <c r="F116" s="419">
        <v>14.65</v>
      </c>
      <c r="G116" s="13"/>
      <c r="H116" s="13"/>
      <c r="I116" s="54">
        <v>20</v>
      </c>
      <c r="J116" s="436">
        <f t="shared" si="18"/>
        <v>8.3073053892215576</v>
      </c>
      <c r="K116" s="419">
        <v>10.35</v>
      </c>
      <c r="L116" s="419">
        <v>11.3</v>
      </c>
      <c r="M116" s="419">
        <v>13.8</v>
      </c>
      <c r="N116" s="59"/>
      <c r="O116" s="286"/>
      <c r="P116" s="286"/>
      <c r="Q116" s="59"/>
      <c r="R116" s="59"/>
      <c r="S116" s="59"/>
      <c r="T116" s="59"/>
      <c r="U116" s="101"/>
      <c r="V116" s="101"/>
      <c r="W116" s="246">
        <v>50</v>
      </c>
      <c r="X116" s="431">
        <v>16200</v>
      </c>
      <c r="Y116" s="431">
        <v>1250</v>
      </c>
      <c r="Z116" s="433">
        <f t="shared" si="10"/>
        <v>17450</v>
      </c>
      <c r="AA116" s="434">
        <v>8375</v>
      </c>
      <c r="AB116" s="432">
        <v>1600</v>
      </c>
      <c r="AC116" s="435">
        <f t="shared" si="19"/>
        <v>9975</v>
      </c>
      <c r="AD116" s="286"/>
      <c r="AE116" s="246">
        <f t="shared" si="20"/>
        <v>50</v>
      </c>
      <c r="AF116" s="252">
        <f t="shared" si="21"/>
        <v>324</v>
      </c>
      <c r="AG116" s="252">
        <f t="shared" si="22"/>
        <v>25</v>
      </c>
      <c r="AH116" s="252">
        <f t="shared" si="23"/>
        <v>167.5</v>
      </c>
      <c r="AI116" s="253">
        <f t="shared" si="24"/>
        <v>32</v>
      </c>
      <c r="AJ116" s="256"/>
    </row>
    <row r="117" spans="2:36">
      <c r="B117" s="54">
        <v>24</v>
      </c>
      <c r="C117" s="436">
        <f t="shared" si="17"/>
        <v>6.061736526946107</v>
      </c>
      <c r="D117" s="419">
        <v>10.55</v>
      </c>
      <c r="E117" s="419">
        <v>12.3</v>
      </c>
      <c r="F117" s="419">
        <v>15.75</v>
      </c>
      <c r="G117" s="13"/>
      <c r="H117" s="13"/>
      <c r="I117" s="54">
        <v>24</v>
      </c>
      <c r="J117" s="436">
        <f t="shared" si="18"/>
        <v>9.4929341317365274</v>
      </c>
      <c r="K117" s="419">
        <v>10.35</v>
      </c>
      <c r="L117" s="419">
        <v>12.4</v>
      </c>
      <c r="M117" s="419">
        <v>15.5</v>
      </c>
      <c r="N117" s="59"/>
      <c r="O117" s="286"/>
      <c r="P117" s="286"/>
      <c r="Q117" s="59"/>
      <c r="R117" s="59"/>
      <c r="S117" s="59"/>
      <c r="T117" s="59"/>
      <c r="U117" s="101"/>
      <c r="V117" s="101"/>
      <c r="W117" s="246">
        <v>75</v>
      </c>
      <c r="X117" s="431">
        <v>18000</v>
      </c>
      <c r="Y117" s="431">
        <v>1475</v>
      </c>
      <c r="Z117" s="433">
        <f t="shared" si="10"/>
        <v>19475</v>
      </c>
      <c r="AA117" s="434">
        <v>11700</v>
      </c>
      <c r="AB117" s="432">
        <v>1800</v>
      </c>
      <c r="AC117" s="435">
        <f t="shared" si="19"/>
        <v>13500</v>
      </c>
      <c r="AD117" s="286"/>
      <c r="AE117" s="246">
        <f t="shared" si="20"/>
        <v>75</v>
      </c>
      <c r="AF117" s="252">
        <f t="shared" si="21"/>
        <v>240</v>
      </c>
      <c r="AG117" s="252">
        <f t="shared" si="22"/>
        <v>19.666666666666668</v>
      </c>
      <c r="AH117" s="252">
        <f t="shared" si="23"/>
        <v>156</v>
      </c>
      <c r="AI117" s="253">
        <f t="shared" si="24"/>
        <v>24</v>
      </c>
      <c r="AJ117" s="256"/>
    </row>
    <row r="118" spans="2:36">
      <c r="B118" s="54">
        <v>26</v>
      </c>
      <c r="C118" s="436">
        <f t="shared" si="17"/>
        <v>6.5129940119760477</v>
      </c>
      <c r="D118" s="436">
        <f>TREND($D$99:$D$117,$B$99:$B$117,B118)</f>
        <v>10.915311709378315</v>
      </c>
      <c r="E118" s="436">
        <f>TREND($E$99:$E$117,$B$99:$B$117,B118)</f>
        <v>12.798205309639995</v>
      </c>
      <c r="F118" s="436">
        <f>TREND($F$99:$F$117,$B$99:$B$117,B118)</f>
        <v>17.347876344265465</v>
      </c>
      <c r="G118" s="13"/>
      <c r="H118" s="13"/>
      <c r="I118" s="54">
        <v>26</v>
      </c>
      <c r="J118" s="436">
        <f t="shared" si="18"/>
        <v>10.085748502994011</v>
      </c>
      <c r="K118" s="436">
        <f>TREND($J$99:$J$117,$I$99:$I$117,I118)</f>
        <v>10.085748502994011</v>
      </c>
      <c r="L118" s="436">
        <f>TREND($L$99:$L$117,$I$99:$I$117,I118)</f>
        <v>13.946338524595634</v>
      </c>
      <c r="M118" s="436">
        <f>TREND($M$99:$M$117,$I$99:$I$117,I118)</f>
        <v>17.041626936710209</v>
      </c>
      <c r="N118" s="59"/>
      <c r="O118" s="286"/>
      <c r="P118" s="286"/>
      <c r="Q118" s="59"/>
      <c r="R118" s="59"/>
      <c r="S118" s="59"/>
      <c r="T118" s="59"/>
      <c r="U118" s="101"/>
      <c r="V118" s="101"/>
      <c r="W118" s="246">
        <v>100</v>
      </c>
      <c r="X118" s="432">
        <v>22300</v>
      </c>
      <c r="Y118" s="432">
        <v>1650</v>
      </c>
      <c r="Z118" s="433">
        <f t="shared" si="10"/>
        <v>23950</v>
      </c>
      <c r="AA118" s="434">
        <v>12900</v>
      </c>
      <c r="AB118" s="431">
        <v>1800</v>
      </c>
      <c r="AC118" s="435">
        <f t="shared" si="19"/>
        <v>14700</v>
      </c>
      <c r="AD118" s="286"/>
      <c r="AE118" s="246">
        <f t="shared" si="20"/>
        <v>100</v>
      </c>
      <c r="AF118" s="252">
        <f t="shared" si="21"/>
        <v>223</v>
      </c>
      <c r="AG118" s="252">
        <f t="shared" si="22"/>
        <v>16.5</v>
      </c>
      <c r="AH118" s="252">
        <f t="shared" si="23"/>
        <v>129</v>
      </c>
      <c r="AI118" s="253">
        <f t="shared" si="24"/>
        <v>18</v>
      </c>
      <c r="AJ118" s="256"/>
    </row>
    <row r="119" spans="2:36" ht="13.5" thickBot="1">
      <c r="B119" s="55">
        <v>30</v>
      </c>
      <c r="C119" s="436">
        <f t="shared" si="17"/>
        <v>7.4155089820359281</v>
      </c>
      <c r="D119" s="436">
        <f>TREND($D$99:$D$117,$B$99:$B$117,B119)</f>
        <v>12.518341288225201</v>
      </c>
      <c r="E119" s="436">
        <f>TREND($E$99:$E$117,$B$99:$B$117,B119)</f>
        <v>14.584398643551866</v>
      </c>
      <c r="F119" s="436">
        <f>TREND($F$99:$F$117,$B$99:$B$117,B119)</f>
        <v>19.693416553740576</v>
      </c>
      <c r="G119" s="13"/>
      <c r="H119" s="13"/>
      <c r="I119" s="55">
        <v>30</v>
      </c>
      <c r="J119" s="436">
        <f t="shared" si="18"/>
        <v>11.271377245508981</v>
      </c>
      <c r="K119" s="436">
        <f>TREND($J$99:$J$117,$I$99:$I$117,I119)</f>
        <v>11.27137724550898</v>
      </c>
      <c r="L119" s="436">
        <f>TREND($L$99:$L$117,$I$99:$I$117,I119)</f>
        <v>15.684166471966513</v>
      </c>
      <c r="M119" s="436">
        <f>TREND($M$99:$M$117,$I$99:$I$117,I119)</f>
        <v>19.26816872826312</v>
      </c>
      <c r="N119" s="59"/>
      <c r="O119" s="286"/>
      <c r="P119" s="286"/>
      <c r="Q119" s="59"/>
      <c r="R119" s="59"/>
      <c r="S119" s="59"/>
      <c r="T119" s="59"/>
      <c r="U119" s="101"/>
      <c r="V119" s="101"/>
      <c r="W119" s="246">
        <v>150</v>
      </c>
      <c r="X119" s="431">
        <v>33100</v>
      </c>
      <c r="Y119" s="431">
        <v>2150</v>
      </c>
      <c r="Z119" s="433">
        <f t="shared" si="10"/>
        <v>35250</v>
      </c>
      <c r="AA119" s="434">
        <v>20500</v>
      </c>
      <c r="AB119" s="431">
        <v>2125</v>
      </c>
      <c r="AC119" s="435">
        <f t="shared" si="19"/>
        <v>22625</v>
      </c>
      <c r="AD119" s="286"/>
      <c r="AE119" s="246">
        <f t="shared" si="20"/>
        <v>150</v>
      </c>
      <c r="AF119" s="252">
        <f t="shared" si="21"/>
        <v>220.66666666666666</v>
      </c>
      <c r="AG119" s="252">
        <f t="shared" si="22"/>
        <v>14.333333333333334</v>
      </c>
      <c r="AH119" s="252">
        <f t="shared" si="23"/>
        <v>136.66666666666666</v>
      </c>
      <c r="AI119" s="253">
        <f t="shared" si="24"/>
        <v>14.166666666666666</v>
      </c>
      <c r="AJ119" s="256"/>
    </row>
    <row r="120" spans="2:36" ht="13.5" thickBot="1">
      <c r="B120" s="277"/>
      <c r="C120" s="59"/>
      <c r="D120" s="59"/>
      <c r="E120" s="59"/>
      <c r="F120" s="59"/>
      <c r="G120" s="59"/>
      <c r="H120" s="59"/>
      <c r="I120" s="59"/>
      <c r="J120" s="59"/>
      <c r="K120" s="59"/>
      <c r="L120" s="59"/>
      <c r="M120" s="59"/>
      <c r="N120" s="59"/>
      <c r="O120" s="286"/>
      <c r="P120" s="286"/>
      <c r="Q120" s="59"/>
      <c r="R120" s="59"/>
      <c r="S120" s="59"/>
      <c r="T120" s="59"/>
      <c r="U120" s="101"/>
      <c r="V120" s="101"/>
      <c r="W120" s="255">
        <v>200</v>
      </c>
      <c r="X120" s="257" t="e">
        <f>BHP_TOTAL*AF120</f>
        <v>#DIV/0!</v>
      </c>
      <c r="Y120" s="257" t="e">
        <f>BHP_TOTAL*AG120</f>
        <v>#DIV/0!</v>
      </c>
      <c r="Z120" s="258" t="e">
        <f>SUM(X120:Y120)</f>
        <v>#DIV/0!</v>
      </c>
      <c r="AA120" s="257" t="e">
        <f>BHP_TOTAL*AH120</f>
        <v>#DIV/0!</v>
      </c>
      <c r="AB120" s="257" t="e">
        <f>BHP_TOTAL*10</f>
        <v>#DIV/0!</v>
      </c>
      <c r="AC120" s="259" t="e">
        <f>SUM(AA120:AB120)</f>
        <v>#DIV/0!</v>
      </c>
      <c r="AD120" s="286"/>
      <c r="AE120" s="369">
        <f t="shared" si="20"/>
        <v>200</v>
      </c>
      <c r="AF120" s="254">
        <f>AF119</f>
        <v>220.66666666666666</v>
      </c>
      <c r="AG120" s="254">
        <f>AG119</f>
        <v>14.333333333333334</v>
      </c>
      <c r="AH120" s="254">
        <f>AH119</f>
        <v>136.66666666666666</v>
      </c>
      <c r="AI120" s="366">
        <f>AI119</f>
        <v>14.166666666666666</v>
      </c>
      <c r="AJ120" s="256"/>
    </row>
    <row r="121" spans="2:36" ht="13.5" thickBot="1">
      <c r="B121" s="282"/>
      <c r="C121" s="283"/>
      <c r="D121" s="283"/>
      <c r="E121" s="283"/>
      <c r="F121" s="283"/>
      <c r="G121" s="283"/>
      <c r="H121" s="283"/>
      <c r="I121" s="283"/>
      <c r="J121" s="283"/>
      <c r="K121" s="283"/>
      <c r="L121" s="283"/>
      <c r="M121" s="283"/>
      <c r="N121" s="283"/>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65"/>
    </row>
    <row r="122" spans="2:36">
      <c r="B122" s="58"/>
      <c r="C122" s="59"/>
      <c r="D122" s="59"/>
      <c r="E122" s="59"/>
      <c r="F122" s="59"/>
      <c r="G122" s="59"/>
      <c r="H122" s="59"/>
      <c r="I122" s="59"/>
      <c r="J122" s="59"/>
      <c r="K122" s="59"/>
      <c r="L122" s="59"/>
      <c r="M122" s="59"/>
      <c r="N122" s="59"/>
      <c r="O122" s="13"/>
      <c r="P122" s="13"/>
      <c r="Q122" s="13"/>
      <c r="R122" s="13"/>
      <c r="S122" s="13"/>
      <c r="T122" s="13"/>
      <c r="U122" s="13"/>
      <c r="V122" s="13"/>
      <c r="W122" s="13"/>
      <c r="X122" s="13"/>
      <c r="Y122" s="13"/>
      <c r="Z122" s="13"/>
      <c r="AA122" s="13"/>
      <c r="AB122" s="13"/>
      <c r="AC122" s="13"/>
      <c r="AD122" s="13"/>
      <c r="AE122" s="13"/>
      <c r="AF122" s="13"/>
      <c r="AG122" s="13"/>
      <c r="AH122" s="13"/>
      <c r="AI122" s="13"/>
      <c r="AJ122" s="13"/>
    </row>
    <row r="123" spans="2:36" ht="13.5" thickBot="1">
      <c r="B123" s="265" t="s">
        <v>236</v>
      </c>
      <c r="C123" s="59"/>
      <c r="D123" s="59"/>
      <c r="E123" s="59"/>
      <c r="F123" s="59"/>
      <c r="G123" s="59"/>
      <c r="H123" s="59"/>
      <c r="I123" s="59"/>
      <c r="J123" s="59"/>
      <c r="K123" s="59"/>
      <c r="L123" s="59"/>
      <c r="M123" s="59"/>
      <c r="N123" s="59"/>
    </row>
    <row r="124" spans="2:36" ht="13.5" thickBot="1">
      <c r="B124" s="266"/>
      <c r="C124" s="267"/>
      <c r="D124" s="267"/>
      <c r="E124" s="267"/>
      <c r="F124" s="267"/>
      <c r="G124" s="267"/>
      <c r="H124" s="267"/>
      <c r="I124" s="267"/>
      <c r="J124" s="267"/>
      <c r="K124" s="237"/>
      <c r="L124" s="267"/>
      <c r="M124" s="267"/>
      <c r="N124" s="267"/>
      <c r="O124" s="268"/>
    </row>
    <row r="125" spans="2:36">
      <c r="B125" s="513" t="s">
        <v>90</v>
      </c>
      <c r="C125" s="514"/>
      <c r="D125" s="515"/>
      <c r="E125" s="59"/>
      <c r="F125" s="307"/>
      <c r="G125" s="308" t="s">
        <v>180</v>
      </c>
      <c r="H125" s="309"/>
      <c r="I125" s="309"/>
      <c r="J125" s="310"/>
      <c r="K125" s="13"/>
      <c r="L125" s="529" t="s">
        <v>92</v>
      </c>
      <c r="M125" s="530"/>
      <c r="N125" s="59"/>
      <c r="O125" s="269"/>
    </row>
    <row r="126" spans="2:36" ht="13.5" thickBot="1">
      <c r="B126" s="193" t="s">
        <v>175</v>
      </c>
      <c r="C126" s="194" t="s">
        <v>173</v>
      </c>
      <c r="D126" s="195" t="s">
        <v>174</v>
      </c>
      <c r="E126" s="59"/>
      <c r="F126" s="311"/>
      <c r="G126" s="312" t="s">
        <v>185</v>
      </c>
      <c r="H126" s="313">
        <v>3</v>
      </c>
      <c r="I126" s="314">
        <v>6</v>
      </c>
      <c r="J126" s="315" t="s">
        <v>181</v>
      </c>
      <c r="K126" s="13"/>
      <c r="L126" s="64" t="s">
        <v>93</v>
      </c>
      <c r="M126" s="65" t="s">
        <v>94</v>
      </c>
      <c r="N126" s="59"/>
      <c r="O126" s="269"/>
    </row>
    <row r="127" spans="2:36">
      <c r="B127" s="196">
        <f>U11</f>
        <v>0.5</v>
      </c>
      <c r="C127" s="197">
        <f>V11</f>
        <v>0.54500000000000004</v>
      </c>
      <c r="D127" s="184">
        <f>10^$H$131*10^$H$130^(LOG(C127))</f>
        <v>2.5423540009569647</v>
      </c>
      <c r="E127" s="59"/>
      <c r="F127" s="311"/>
      <c r="G127" s="312" t="s">
        <v>185</v>
      </c>
      <c r="H127" s="313">
        <v>10</v>
      </c>
      <c r="I127" s="314">
        <v>11</v>
      </c>
      <c r="J127" s="315" t="s">
        <v>181</v>
      </c>
      <c r="K127" s="13"/>
      <c r="L127" s="60">
        <v>0</v>
      </c>
      <c r="M127" s="61">
        <v>15</v>
      </c>
      <c r="N127" s="59"/>
      <c r="O127" s="269"/>
    </row>
    <row r="128" spans="2:36">
      <c r="B128" s="188">
        <f t="shared" ref="B128:B141" si="25">U12</f>
        <v>0.75</v>
      </c>
      <c r="C128" s="187">
        <f>V12</f>
        <v>0.78500000000000003</v>
      </c>
      <c r="D128" s="185">
        <f t="shared" ref="D128:D147" si="26">10^$H$131*10^$H$130^(LOG(C128))</f>
        <v>3.0550531145763387</v>
      </c>
      <c r="E128" s="213"/>
      <c r="F128" s="311"/>
      <c r="G128" s="316"/>
      <c r="H128" s="316"/>
      <c r="I128" s="316"/>
      <c r="J128" s="315"/>
      <c r="K128" s="13"/>
      <c r="L128" s="60">
        <v>2000</v>
      </c>
      <c r="M128" s="61">
        <v>14</v>
      </c>
      <c r="N128" s="59"/>
      <c r="O128" s="269"/>
    </row>
    <row r="129" spans="2:15">
      <c r="B129" s="188">
        <f t="shared" si="25"/>
        <v>1</v>
      </c>
      <c r="C129" s="187">
        <f>V13</f>
        <v>1.0249999999999999</v>
      </c>
      <c r="D129" s="185">
        <f t="shared" si="26"/>
        <v>3.4941790244332749</v>
      </c>
      <c r="E129" s="13"/>
      <c r="F129" s="311"/>
      <c r="G129" s="338" t="s">
        <v>244</v>
      </c>
      <c r="H129" s="316"/>
      <c r="I129" s="316"/>
      <c r="J129" s="315"/>
      <c r="K129" s="13"/>
      <c r="L129" s="60">
        <v>3000</v>
      </c>
      <c r="M129" s="61">
        <v>13</v>
      </c>
      <c r="N129" s="14"/>
      <c r="O129" s="270"/>
    </row>
    <row r="130" spans="2:15">
      <c r="B130" s="188">
        <f t="shared" si="25"/>
        <v>1.25</v>
      </c>
      <c r="C130" s="187">
        <f>V14</f>
        <v>1.2649999999999999</v>
      </c>
      <c r="D130" s="185">
        <f t="shared" si="26"/>
        <v>3.8845737462319319</v>
      </c>
      <c r="E130" s="13"/>
      <c r="F130" s="339"/>
      <c r="G130" s="345" t="s">
        <v>87</v>
      </c>
      <c r="H130" s="316">
        <f>(LOG($I$127)-LOG($I$126))/(LOG(H127)-LOG(H126))</f>
        <v>0.50344642453088528</v>
      </c>
      <c r="I130" s="13"/>
      <c r="J130" s="340"/>
      <c r="K130" s="13"/>
      <c r="L130" s="60">
        <v>4000</v>
      </c>
      <c r="M130" s="61">
        <v>12</v>
      </c>
      <c r="N130" s="14"/>
      <c r="O130" s="270"/>
    </row>
    <row r="131" spans="2:15" ht="13.5" thickBot="1">
      <c r="B131" s="188">
        <f t="shared" si="25"/>
        <v>1.5</v>
      </c>
      <c r="C131" s="187">
        <f>V15</f>
        <v>1.5049999999999999</v>
      </c>
      <c r="D131" s="185">
        <f t="shared" si="26"/>
        <v>4.2396145772718246</v>
      </c>
      <c r="E131" s="13"/>
      <c r="F131" s="311"/>
      <c r="G131" s="337" t="s">
        <v>88</v>
      </c>
      <c r="H131" s="316">
        <f>LOG($I$127)-$H$130*LOG(H127)</f>
        <v>0.53794626062733986</v>
      </c>
      <c r="I131" s="316"/>
      <c r="J131" s="315"/>
      <c r="K131" s="13"/>
      <c r="L131" s="62">
        <v>6000</v>
      </c>
      <c r="M131" s="63">
        <v>10</v>
      </c>
      <c r="N131" s="13"/>
      <c r="O131" s="271"/>
    </row>
    <row r="132" spans="2:15">
      <c r="B132" s="188">
        <f t="shared" si="25"/>
        <v>2</v>
      </c>
      <c r="C132" s="187">
        <f>V16</f>
        <v>1.9850000000000001</v>
      </c>
      <c r="D132" s="185">
        <f t="shared" si="26"/>
        <v>4.8736319112081601</v>
      </c>
      <c r="E132" s="13"/>
      <c r="F132" s="311"/>
      <c r="G132" s="317"/>
      <c r="H132" s="316"/>
      <c r="I132" s="316"/>
      <c r="J132" s="315"/>
      <c r="K132" s="13"/>
      <c r="L132" s="297"/>
      <c r="M132" s="297"/>
      <c r="N132" s="13"/>
      <c r="O132" s="271"/>
    </row>
    <row r="133" spans="2:15">
      <c r="B133" s="188">
        <f t="shared" si="25"/>
        <v>2.5</v>
      </c>
      <c r="C133" s="187">
        <f>W17</f>
        <v>2.4689999999999999</v>
      </c>
      <c r="D133" s="185">
        <f t="shared" si="26"/>
        <v>5.4395077506101295</v>
      </c>
      <c r="E133" s="13"/>
      <c r="F133" s="341"/>
      <c r="G133" s="342" t="s">
        <v>270</v>
      </c>
      <c r="H133" s="343"/>
      <c r="I133" s="343"/>
      <c r="J133" s="344"/>
      <c r="K133" s="13"/>
      <c r="L133" s="297"/>
      <c r="M133" s="297"/>
      <c r="N133" s="13"/>
      <c r="O133" s="271"/>
    </row>
    <row r="134" spans="2:15">
      <c r="B134" s="188">
        <f t="shared" si="25"/>
        <v>3</v>
      </c>
      <c r="C134" s="187">
        <f t="shared" ref="C134:C146" si="27">W18</f>
        <v>3.0680000000000001</v>
      </c>
      <c r="D134" s="185">
        <f t="shared" si="26"/>
        <v>6.0680876949042064</v>
      </c>
      <c r="E134" s="13"/>
      <c r="F134" s="13"/>
      <c r="G134" s="13"/>
      <c r="H134" s="13"/>
      <c r="I134" s="13"/>
      <c r="J134" s="14"/>
      <c r="K134" s="13"/>
      <c r="L134" s="297"/>
      <c r="M134" s="297"/>
      <c r="N134" s="13"/>
      <c r="O134" s="271"/>
    </row>
    <row r="135" spans="2:15">
      <c r="B135" s="188">
        <f t="shared" si="25"/>
        <v>4</v>
      </c>
      <c r="C135" s="187">
        <f t="shared" si="27"/>
        <v>4.0259999999999998</v>
      </c>
      <c r="D135" s="185">
        <f t="shared" si="26"/>
        <v>6.9577336221905766</v>
      </c>
      <c r="E135" s="13"/>
      <c r="F135" s="13"/>
      <c r="G135" s="13"/>
      <c r="H135" s="13"/>
      <c r="I135" s="13"/>
      <c r="J135" s="14"/>
      <c r="K135" s="13"/>
      <c r="L135" s="297"/>
      <c r="M135" s="297"/>
      <c r="N135" s="13"/>
      <c r="O135" s="271"/>
    </row>
    <row r="136" spans="2:15">
      <c r="B136" s="188">
        <f t="shared" si="25"/>
        <v>5</v>
      </c>
      <c r="C136" s="187">
        <f t="shared" si="27"/>
        <v>5.0469999999999997</v>
      </c>
      <c r="D136" s="185">
        <f t="shared" si="26"/>
        <v>7.7962519237302192</v>
      </c>
      <c r="E136" s="13"/>
      <c r="F136" s="13"/>
      <c r="G136" s="13"/>
      <c r="H136" s="13"/>
      <c r="I136" s="13"/>
      <c r="J136" s="14"/>
      <c r="K136" s="13"/>
      <c r="L136" s="297"/>
      <c r="M136" s="297"/>
      <c r="N136" s="13"/>
      <c r="O136" s="271"/>
    </row>
    <row r="137" spans="2:15">
      <c r="B137" s="188">
        <f t="shared" si="25"/>
        <v>6</v>
      </c>
      <c r="C137" s="187">
        <f t="shared" si="27"/>
        <v>6.0650000000000004</v>
      </c>
      <c r="D137" s="185">
        <f t="shared" si="26"/>
        <v>8.5518412531975407</v>
      </c>
      <c r="E137" s="13"/>
      <c r="F137" s="13"/>
      <c r="G137" s="13"/>
      <c r="H137" s="13"/>
      <c r="I137" s="13"/>
      <c r="J137" s="14"/>
      <c r="K137" s="13"/>
      <c r="L137" s="297"/>
      <c r="M137" s="297"/>
      <c r="N137" s="13"/>
      <c r="O137" s="271"/>
    </row>
    <row r="138" spans="2:15">
      <c r="B138" s="188">
        <f t="shared" si="25"/>
        <v>8</v>
      </c>
      <c r="C138" s="187">
        <f t="shared" si="27"/>
        <v>7.9809999999999999</v>
      </c>
      <c r="D138" s="185">
        <f t="shared" si="26"/>
        <v>9.819373700167473</v>
      </c>
      <c r="E138" s="13"/>
      <c r="F138" s="13"/>
      <c r="G138" s="13"/>
      <c r="H138" s="13"/>
      <c r="I138" s="13"/>
      <c r="J138" s="14"/>
      <c r="K138" s="13"/>
      <c r="L138" s="297"/>
      <c r="M138" s="297"/>
      <c r="N138" s="13"/>
      <c r="O138" s="271"/>
    </row>
    <row r="139" spans="2:15">
      <c r="B139" s="188">
        <f t="shared" si="25"/>
        <v>10</v>
      </c>
      <c r="C139" s="187">
        <f t="shared" si="27"/>
        <v>10.02</v>
      </c>
      <c r="D139" s="185">
        <f t="shared" si="26"/>
        <v>11.011070327081258</v>
      </c>
      <c r="E139" s="13"/>
      <c r="F139" s="13"/>
      <c r="G139" s="13"/>
      <c r="H139" s="13"/>
      <c r="I139" s="13"/>
      <c r="J139" s="14"/>
      <c r="K139" s="13"/>
      <c r="L139" s="297"/>
      <c r="M139" s="297"/>
      <c r="N139" s="13"/>
      <c r="O139" s="271"/>
    </row>
    <row r="140" spans="2:15">
      <c r="B140" s="188">
        <f t="shared" si="25"/>
        <v>12</v>
      </c>
      <c r="C140" s="187">
        <f t="shared" si="27"/>
        <v>12</v>
      </c>
      <c r="D140" s="185">
        <f t="shared" si="26"/>
        <v>12.05747028698295</v>
      </c>
      <c r="E140" s="13"/>
      <c r="F140" s="13"/>
      <c r="G140" s="13"/>
      <c r="H140" s="13"/>
      <c r="I140" s="13"/>
      <c r="J140" s="14"/>
      <c r="K140" s="13"/>
      <c r="L140" s="297"/>
      <c r="M140" s="297"/>
      <c r="N140" s="13"/>
      <c r="O140" s="271"/>
    </row>
    <row r="141" spans="2:15">
      <c r="B141" s="188">
        <f t="shared" si="25"/>
        <v>14</v>
      </c>
      <c r="C141" s="187">
        <f t="shared" si="27"/>
        <v>13.25</v>
      </c>
      <c r="D141" s="185">
        <f t="shared" si="26"/>
        <v>12.674237239470923</v>
      </c>
      <c r="E141" s="13"/>
      <c r="F141" s="13"/>
      <c r="G141" s="13"/>
      <c r="H141" s="13"/>
      <c r="I141" s="13"/>
      <c r="J141" s="14"/>
      <c r="K141" s="13"/>
      <c r="L141" s="297"/>
      <c r="M141" s="297"/>
      <c r="N141" s="13"/>
      <c r="O141" s="271"/>
    </row>
    <row r="142" spans="2:15">
      <c r="B142" s="188">
        <f t="shared" ref="B142:B147" si="28">U26</f>
        <v>16</v>
      </c>
      <c r="C142" s="187">
        <f t="shared" si="27"/>
        <v>15.25</v>
      </c>
      <c r="D142" s="185">
        <f t="shared" si="26"/>
        <v>13.603768496849828</v>
      </c>
      <c r="E142" s="13"/>
      <c r="F142" s="13"/>
      <c r="G142" s="12"/>
      <c r="H142" s="12"/>
      <c r="I142" s="12"/>
      <c r="J142" s="14"/>
      <c r="K142" s="13"/>
      <c r="L142" s="297"/>
      <c r="M142" s="297"/>
      <c r="N142" s="13"/>
      <c r="O142" s="271"/>
    </row>
    <row r="143" spans="2:15">
      <c r="B143" s="188">
        <f t="shared" si="28"/>
        <v>18</v>
      </c>
      <c r="C143" s="187">
        <f t="shared" si="27"/>
        <v>17.25</v>
      </c>
      <c r="D143" s="185">
        <f t="shared" si="26"/>
        <v>14.474491335184707</v>
      </c>
      <c r="E143" s="13"/>
      <c r="F143" s="13"/>
      <c r="G143" s="12"/>
      <c r="H143" s="12"/>
      <c r="I143" s="12"/>
      <c r="J143" s="14"/>
      <c r="K143" s="13"/>
      <c r="L143" s="13"/>
      <c r="M143" s="13"/>
      <c r="N143" s="13"/>
      <c r="O143" s="247"/>
    </row>
    <row r="144" spans="2:15">
      <c r="B144" s="188">
        <f t="shared" si="28"/>
        <v>20</v>
      </c>
      <c r="C144" s="187">
        <f t="shared" si="27"/>
        <v>19.25</v>
      </c>
      <c r="D144" s="185">
        <f t="shared" si="26"/>
        <v>15.29636792340081</v>
      </c>
      <c r="E144" s="13"/>
      <c r="F144" s="13"/>
      <c r="G144" s="12"/>
      <c r="H144" s="12"/>
      <c r="I144" s="12"/>
      <c r="J144" s="14"/>
      <c r="K144" s="13"/>
      <c r="L144" s="13"/>
      <c r="M144" s="13"/>
      <c r="N144" s="13"/>
      <c r="O144" s="247"/>
    </row>
    <row r="145" spans="2:15">
      <c r="B145" s="188">
        <f t="shared" si="28"/>
        <v>24</v>
      </c>
      <c r="C145" s="187">
        <f t="shared" si="27"/>
        <v>23.25</v>
      </c>
      <c r="D145" s="185">
        <f t="shared" si="26"/>
        <v>16.821588811716804</v>
      </c>
      <c r="E145" s="13"/>
      <c r="F145" s="13"/>
      <c r="G145" s="12"/>
      <c r="H145" s="12"/>
      <c r="I145" s="12"/>
      <c r="J145" s="14"/>
      <c r="K145" s="13"/>
      <c r="L145" s="13"/>
      <c r="M145" s="13"/>
      <c r="N145" s="13"/>
      <c r="O145" s="247"/>
    </row>
    <row r="146" spans="2:15">
      <c r="B146" s="188">
        <f t="shared" si="28"/>
        <v>26</v>
      </c>
      <c r="C146" s="187">
        <f t="shared" si="27"/>
        <v>25.25</v>
      </c>
      <c r="D146" s="185">
        <f t="shared" si="26"/>
        <v>17.535160279224446</v>
      </c>
      <c r="E146" s="13"/>
      <c r="F146" s="13"/>
      <c r="G146" s="12"/>
      <c r="H146" s="12"/>
      <c r="I146" s="12"/>
      <c r="J146" s="14"/>
      <c r="K146" s="13"/>
      <c r="L146" s="13"/>
      <c r="M146" s="13"/>
      <c r="N146" s="13"/>
      <c r="O146" s="247"/>
    </row>
    <row r="147" spans="2:15" ht="13.5" thickBot="1">
      <c r="B147" s="189">
        <f t="shared" si="28"/>
        <v>30</v>
      </c>
      <c r="C147" s="190">
        <f>W31</f>
        <v>29.25</v>
      </c>
      <c r="D147" s="186">
        <f t="shared" si="26"/>
        <v>18.882612811225702</v>
      </c>
      <c r="E147" s="13"/>
      <c r="F147" s="13"/>
      <c r="G147" s="12"/>
      <c r="H147" s="12"/>
      <c r="I147" s="12"/>
      <c r="J147" s="14"/>
      <c r="K147" s="13"/>
      <c r="L147" s="13"/>
      <c r="M147" s="13"/>
      <c r="N147" s="13"/>
      <c r="O147" s="247"/>
    </row>
    <row r="148" spans="2:15" ht="13.5" thickBot="1">
      <c r="B148" s="272"/>
      <c r="C148" s="273"/>
      <c r="D148" s="273"/>
      <c r="E148" s="248"/>
      <c r="F148" s="248"/>
      <c r="G148" s="274"/>
      <c r="H148" s="274"/>
      <c r="I148" s="274"/>
      <c r="J148" s="275"/>
      <c r="K148" s="248"/>
      <c r="L148" s="248"/>
      <c r="M148" s="248"/>
      <c r="N148" s="248"/>
      <c r="O148" s="65"/>
    </row>
    <row r="149" spans="2:15">
      <c r="B149" s="191"/>
      <c r="C149" s="192"/>
      <c r="D149" s="192"/>
      <c r="E149" s="49"/>
      <c r="G149" s="12"/>
      <c r="H149" s="12"/>
      <c r="I149" s="12"/>
      <c r="J149" s="14"/>
    </row>
    <row r="150" spans="2:15" ht="13.5" thickBot="1">
      <c r="B150" s="191" t="s">
        <v>241</v>
      </c>
      <c r="C150" s="192"/>
      <c r="D150" s="192"/>
      <c r="E150" s="49"/>
      <c r="G150" s="12"/>
      <c r="H150" s="12"/>
      <c r="I150" s="12"/>
      <c r="J150" s="14"/>
    </row>
    <row r="151" spans="2:15" ht="13.5" thickBot="1">
      <c r="B151" s="334"/>
      <c r="C151" s="335"/>
      <c r="D151" s="335"/>
      <c r="E151" s="336"/>
      <c r="F151" s="237"/>
      <c r="G151" s="327"/>
      <c r="H151" s="244"/>
      <c r="I151" s="12"/>
      <c r="J151" s="14"/>
    </row>
    <row r="152" spans="2:15">
      <c r="B152" s="196" t="s">
        <v>190</v>
      </c>
      <c r="C152" s="184"/>
      <c r="D152" s="192"/>
      <c r="E152" s="13"/>
      <c r="F152" s="13"/>
      <c r="G152" s="12"/>
      <c r="H152" s="245"/>
    </row>
    <row r="153" spans="2:15">
      <c r="B153" s="188" t="s">
        <v>187</v>
      </c>
      <c r="C153" s="228">
        <v>50</v>
      </c>
      <c r="D153" s="192" t="s">
        <v>155</v>
      </c>
      <c r="E153" s="13"/>
      <c r="F153" s="13"/>
      <c r="G153" s="12"/>
      <c r="H153" s="245"/>
    </row>
    <row r="154" spans="2:15">
      <c r="B154" s="188" t="s">
        <v>188</v>
      </c>
      <c r="C154" s="228">
        <v>160</v>
      </c>
      <c r="D154" s="192" t="s">
        <v>155</v>
      </c>
      <c r="E154" s="13"/>
      <c r="F154" s="13"/>
      <c r="G154" s="12"/>
      <c r="H154" s="245"/>
    </row>
    <row r="155" spans="2:15" ht="13.5" thickBot="1">
      <c r="B155" s="229" t="s">
        <v>189</v>
      </c>
      <c r="C155" s="230">
        <v>80</v>
      </c>
      <c r="D155" s="192" t="s">
        <v>155</v>
      </c>
      <c r="E155" s="13"/>
      <c r="F155" s="13"/>
      <c r="G155" s="12"/>
      <c r="H155" s="245"/>
    </row>
    <row r="156" spans="2:15" ht="13.5" thickBot="1">
      <c r="B156" s="246"/>
      <c r="C156" s="13"/>
      <c r="D156" s="13"/>
      <c r="E156" s="13"/>
      <c r="F156" s="13"/>
      <c r="G156" s="12"/>
      <c r="H156" s="245"/>
    </row>
    <row r="157" spans="2:15">
      <c r="B157" s="243" t="s">
        <v>198</v>
      </c>
      <c r="C157" s="237"/>
      <c r="D157" s="237"/>
      <c r="E157" s="237"/>
      <c r="F157" s="237"/>
      <c r="G157" s="244"/>
      <c r="H157" s="245"/>
    </row>
    <row r="158" spans="2:15">
      <c r="B158" s="47" t="s">
        <v>193</v>
      </c>
      <c r="C158" s="235" t="s">
        <v>194</v>
      </c>
      <c r="D158" s="235" t="s">
        <v>195</v>
      </c>
      <c r="E158" s="235" t="s">
        <v>196</v>
      </c>
      <c r="F158" s="13"/>
      <c r="G158" s="245"/>
      <c r="H158" s="245"/>
    </row>
    <row r="159" spans="2:15">
      <c r="B159" s="47">
        <v>1</v>
      </c>
      <c r="C159" s="235">
        <v>0.6</v>
      </c>
      <c r="D159" s="235">
        <v>0.3</v>
      </c>
      <c r="E159" s="235">
        <v>0.2</v>
      </c>
      <c r="F159" s="13"/>
      <c r="G159" s="245"/>
      <c r="H159" s="245"/>
      <c r="I159" s="12"/>
    </row>
    <row r="160" spans="2:15">
      <c r="B160" s="246" t="s">
        <v>193</v>
      </c>
      <c r="C160" s="13" t="s">
        <v>199</v>
      </c>
      <c r="D160" s="13"/>
      <c r="E160" s="13"/>
      <c r="F160" s="13"/>
      <c r="G160" s="247"/>
      <c r="H160" s="247"/>
    </row>
    <row r="161" spans="2:34">
      <c r="B161" s="246" t="s">
        <v>194</v>
      </c>
      <c r="C161" s="13" t="s">
        <v>200</v>
      </c>
      <c r="D161" s="13"/>
      <c r="E161" s="13"/>
      <c r="F161" s="13"/>
      <c r="G161" s="247"/>
      <c r="H161" s="247"/>
      <c r="L161" s="80"/>
      <c r="M161" s="80"/>
      <c r="N161" s="80"/>
      <c r="O161" s="80"/>
      <c r="P161" s="80"/>
      <c r="Q161" s="80"/>
      <c r="R161" s="80"/>
      <c r="S161" s="80"/>
      <c r="T161" s="80"/>
      <c r="U161" s="80"/>
      <c r="V161" s="80"/>
      <c r="W161" s="80"/>
      <c r="X161" s="80"/>
      <c r="Y161" s="80"/>
      <c r="Z161" s="80"/>
      <c r="AA161" s="80"/>
      <c r="AB161" s="80"/>
      <c r="AC161" s="80"/>
      <c r="AD161" s="80"/>
      <c r="AE161" s="80"/>
      <c r="AF161" s="128"/>
      <c r="AG161" s="80"/>
      <c r="AH161" s="80"/>
    </row>
    <row r="162" spans="2:34">
      <c r="B162" s="246" t="s">
        <v>195</v>
      </c>
      <c r="C162" s="13" t="s">
        <v>201</v>
      </c>
      <c r="D162" s="13"/>
      <c r="E162" s="13"/>
      <c r="F162" s="13"/>
      <c r="G162" s="247"/>
      <c r="H162" s="247"/>
      <c r="I162" s="129"/>
      <c r="J162" s="128"/>
      <c r="L162" s="80"/>
      <c r="M162" s="80"/>
      <c r="N162" s="80"/>
      <c r="O162" s="80"/>
      <c r="P162" s="80"/>
      <c r="Q162" s="80"/>
      <c r="R162" s="80"/>
      <c r="S162" s="80"/>
      <c r="T162" s="80"/>
      <c r="U162" s="80"/>
      <c r="V162" s="80"/>
      <c r="W162" s="80"/>
      <c r="X162" s="80"/>
      <c r="Y162" s="80"/>
      <c r="Z162" s="80"/>
      <c r="AA162" s="80"/>
      <c r="AB162" s="80"/>
      <c r="AC162" s="80"/>
      <c r="AD162" s="80"/>
      <c r="AE162" s="80"/>
      <c r="AF162" s="128"/>
      <c r="AG162" s="80"/>
      <c r="AH162" s="80"/>
    </row>
    <row r="163" spans="2:34" ht="13.5" thickBot="1">
      <c r="B163" s="64" t="s">
        <v>196</v>
      </c>
      <c r="C163" s="248" t="s">
        <v>202</v>
      </c>
      <c r="D163" s="248"/>
      <c r="E163" s="248"/>
      <c r="F163" s="248"/>
      <c r="G163" s="65"/>
      <c r="H163" s="247"/>
      <c r="L163" s="80"/>
      <c r="M163" s="80"/>
      <c r="N163" s="80"/>
      <c r="O163" s="80"/>
      <c r="P163" s="80"/>
      <c r="Q163" s="80"/>
      <c r="R163" s="80"/>
      <c r="S163" s="80"/>
      <c r="T163" s="80"/>
      <c r="U163" s="80"/>
      <c r="V163" s="80"/>
      <c r="W163" s="80"/>
      <c r="X163" s="80"/>
      <c r="Y163" s="80"/>
      <c r="Z163" s="80"/>
      <c r="AA163" s="80"/>
      <c r="AB163" s="80"/>
      <c r="AC163" s="80"/>
      <c r="AD163" s="80"/>
      <c r="AE163" s="80"/>
      <c r="AF163" s="128"/>
      <c r="AG163" s="80"/>
      <c r="AH163" s="80"/>
    </row>
    <row r="164" spans="2:34" ht="13.5" thickBot="1">
      <c r="B164" s="246"/>
      <c r="C164" s="13"/>
      <c r="D164" s="13"/>
      <c r="E164" s="13"/>
      <c r="F164" s="13"/>
      <c r="G164" s="12"/>
      <c r="H164" s="245"/>
    </row>
    <row r="165" spans="2:34">
      <c r="B165" s="236" t="s">
        <v>191</v>
      </c>
      <c r="C165" s="237"/>
      <c r="D165" s="45"/>
      <c r="E165" s="13"/>
      <c r="F165" s="13"/>
      <c r="G165" s="12"/>
      <c r="H165" s="245"/>
    </row>
    <row r="166" spans="2:34">
      <c r="B166" s="238"/>
      <c r="C166" s="235" t="s">
        <v>54</v>
      </c>
      <c r="D166" s="185" t="s">
        <v>53</v>
      </c>
      <c r="E166" s="13"/>
      <c r="F166" s="13"/>
      <c r="G166" s="12"/>
      <c r="H166" s="245"/>
    </row>
    <row r="167" spans="2:34">
      <c r="B167" s="239" t="s">
        <v>57</v>
      </c>
      <c r="C167" s="438">
        <v>110.2</v>
      </c>
      <c r="D167" s="439">
        <v>127.3</v>
      </c>
      <c r="E167" s="13"/>
      <c r="F167" s="13"/>
      <c r="G167" s="12"/>
      <c r="H167" s="245"/>
    </row>
    <row r="168" spans="2:34">
      <c r="B168" s="239" t="s">
        <v>197</v>
      </c>
      <c r="C168" s="438">
        <v>103.3</v>
      </c>
      <c r="D168" s="439">
        <v>115.1</v>
      </c>
      <c r="E168" s="13"/>
      <c r="F168" s="13"/>
      <c r="G168" s="12"/>
      <c r="H168" s="245"/>
    </row>
    <row r="169" spans="2:34">
      <c r="B169" s="239" t="s">
        <v>192</v>
      </c>
      <c r="C169" s="438">
        <v>103.9</v>
      </c>
      <c r="D169" s="439">
        <v>112.3</v>
      </c>
      <c r="E169" s="13"/>
      <c r="F169" s="13"/>
      <c r="G169" s="12"/>
      <c r="H169" s="245"/>
    </row>
    <row r="170" spans="2:34">
      <c r="B170" s="239" t="s">
        <v>260</v>
      </c>
      <c r="C170" s="438">
        <v>112.4</v>
      </c>
      <c r="D170" s="439">
        <v>137.5</v>
      </c>
      <c r="E170" s="13"/>
      <c r="F170" s="13"/>
      <c r="G170" s="12"/>
      <c r="H170" s="245"/>
    </row>
    <row r="171" spans="2:34">
      <c r="B171" s="239" t="s">
        <v>261</v>
      </c>
      <c r="C171" s="438">
        <v>107</v>
      </c>
      <c r="D171" s="439">
        <v>130.4</v>
      </c>
      <c r="E171" s="13"/>
      <c r="F171" s="13"/>
      <c r="G171" s="12"/>
      <c r="H171" s="245"/>
    </row>
    <row r="172" spans="2:34">
      <c r="B172" s="239" t="s">
        <v>262</v>
      </c>
      <c r="C172" s="440">
        <v>102.1</v>
      </c>
      <c r="D172" s="441">
        <v>112.5</v>
      </c>
      <c r="E172" s="13"/>
      <c r="F172" s="13"/>
      <c r="G172" s="12"/>
      <c r="H172" s="245"/>
    </row>
    <row r="173" spans="2:34">
      <c r="B173" s="239" t="s">
        <v>263</v>
      </c>
      <c r="C173" s="440">
        <v>106</v>
      </c>
      <c r="D173" s="441">
        <v>113.6</v>
      </c>
      <c r="E173" s="13"/>
      <c r="F173" s="13"/>
      <c r="G173" s="12"/>
      <c r="H173" s="245"/>
    </row>
    <row r="174" spans="2:34">
      <c r="B174" s="239" t="s">
        <v>267</v>
      </c>
      <c r="C174" s="440">
        <v>100</v>
      </c>
      <c r="D174" s="441">
        <v>100</v>
      </c>
      <c r="E174" s="13"/>
      <c r="F174" s="13"/>
      <c r="G174" s="12"/>
      <c r="H174" s="245"/>
    </row>
    <row r="175" spans="2:34" ht="13.5" thickBot="1">
      <c r="B175" s="240" t="s">
        <v>250</v>
      </c>
      <c r="C175" s="241"/>
      <c r="D175" s="242"/>
      <c r="E175" s="13"/>
      <c r="F175" s="13"/>
      <c r="G175" s="12"/>
      <c r="H175" s="245"/>
    </row>
    <row r="176" spans="2:34" ht="13.5" thickBot="1">
      <c r="B176" s="64"/>
      <c r="C176" s="248"/>
      <c r="D176" s="248"/>
      <c r="E176" s="248"/>
      <c r="F176" s="248"/>
      <c r="G176" s="248"/>
      <c r="H176" s="65"/>
      <c r="L176" s="80"/>
      <c r="M176" s="80"/>
      <c r="N176" s="80"/>
      <c r="O176" s="80"/>
      <c r="P176" s="80"/>
      <c r="Q176" s="80"/>
      <c r="R176" s="80"/>
      <c r="S176" s="80"/>
      <c r="T176" s="80"/>
      <c r="U176" s="80"/>
      <c r="V176" s="80"/>
      <c r="W176" s="80"/>
      <c r="X176" s="80"/>
      <c r="Y176" s="80"/>
      <c r="Z176" s="80"/>
      <c r="AA176" s="80"/>
      <c r="AB176" s="80"/>
      <c r="AC176" s="80"/>
      <c r="AD176" s="80"/>
      <c r="AE176" s="80"/>
      <c r="AF176" s="128"/>
      <c r="AG176" s="80"/>
      <c r="AH176" s="80"/>
    </row>
    <row r="177" spans="2:34">
      <c r="L177" s="80"/>
      <c r="M177" s="80"/>
      <c r="N177" s="80"/>
      <c r="O177" s="80"/>
      <c r="P177" s="80"/>
      <c r="Q177" s="80"/>
      <c r="R177" s="80"/>
      <c r="S177" s="80"/>
      <c r="T177" s="80"/>
      <c r="U177" s="80"/>
      <c r="V177" s="80"/>
      <c r="W177" s="80"/>
      <c r="X177" s="80"/>
      <c r="Y177" s="80"/>
      <c r="Z177" s="80"/>
      <c r="AA177" s="80"/>
      <c r="AB177" s="80"/>
      <c r="AC177" s="80"/>
      <c r="AD177" s="80"/>
      <c r="AE177" s="80"/>
      <c r="AF177" s="128"/>
      <c r="AG177" s="80"/>
      <c r="AH177" s="80"/>
    </row>
    <row r="178" spans="2:34" ht="13.5" thickBot="1">
      <c r="B178" s="1" t="s">
        <v>211</v>
      </c>
    </row>
    <row r="179" spans="2:34" ht="13.5" thickBot="1">
      <c r="B179" s="243"/>
      <c r="C179" s="237"/>
      <c r="D179" s="237"/>
      <c r="E179" s="237"/>
      <c r="F179" s="237"/>
      <c r="G179" s="237"/>
      <c r="H179" s="237"/>
      <c r="I179" s="237"/>
      <c r="J179" s="45"/>
    </row>
    <row r="180" spans="2:34">
      <c r="B180" s="243" t="s">
        <v>69</v>
      </c>
      <c r="C180" s="45"/>
      <c r="D180" s="13"/>
      <c r="E180" s="146" t="s">
        <v>242</v>
      </c>
      <c r="F180" s="146"/>
      <c r="G180" s="13"/>
      <c r="H180" s="13"/>
      <c r="I180" s="13"/>
      <c r="J180" s="247"/>
    </row>
    <row r="181" spans="2:34">
      <c r="B181" s="246" t="s">
        <v>1</v>
      </c>
      <c r="C181" s="247"/>
      <c r="D181" s="13"/>
      <c r="E181" s="306" t="s">
        <v>69</v>
      </c>
      <c r="F181" s="321">
        <f>VLOOKUP('Piping Circuit'!$B$3,$B$183:$C$191,2)</f>
        <v>0.54849422322219354</v>
      </c>
      <c r="G181" s="13"/>
      <c r="H181" s="13"/>
      <c r="I181" s="13"/>
      <c r="J181" s="247"/>
    </row>
    <row r="182" spans="2:34" ht="13.5" thickBot="1">
      <c r="B182" s="246" t="s">
        <v>224</v>
      </c>
      <c r="C182" s="247" t="s">
        <v>271</v>
      </c>
      <c r="D182" s="13"/>
      <c r="E182" s="13"/>
      <c r="F182" s="13"/>
      <c r="G182" s="13"/>
      <c r="H182" s="13"/>
      <c r="I182" s="13"/>
      <c r="J182" s="247"/>
    </row>
    <row r="183" spans="2:34">
      <c r="B183" s="243">
        <v>0</v>
      </c>
      <c r="C183" s="374">
        <f>($G$188*LN(B184)+$G$189)*0.9</f>
        <v>0.54849422322219354</v>
      </c>
      <c r="D183" s="13"/>
      <c r="E183" s="13"/>
      <c r="F183" s="13"/>
      <c r="G183" s="13"/>
      <c r="H183" s="13"/>
      <c r="I183" s="13"/>
      <c r="J183" s="247"/>
    </row>
    <row r="184" spans="2:34">
      <c r="B184" s="246">
        <v>60</v>
      </c>
      <c r="C184" s="299">
        <f t="shared" ref="C184:C195" si="29">($G$188*LN(B185)+$G$189)*0.9</f>
        <v>0.57548114092575087</v>
      </c>
      <c r="D184" s="13"/>
      <c r="E184" s="13"/>
      <c r="F184" s="13"/>
      <c r="G184" s="13"/>
      <c r="H184" s="13"/>
      <c r="I184" s="13"/>
      <c r="J184" s="247"/>
    </row>
    <row r="185" spans="2:34">
      <c r="B185" s="246">
        <v>100</v>
      </c>
      <c r="C185" s="299">
        <f t="shared" si="29"/>
        <v>0.66050774583964444</v>
      </c>
      <c r="D185" s="13"/>
      <c r="E185" s="307"/>
      <c r="F185" s="308" t="s">
        <v>238</v>
      </c>
      <c r="G185" s="309"/>
      <c r="H185" s="309"/>
      <c r="I185" s="310"/>
      <c r="J185" s="247"/>
    </row>
    <row r="186" spans="2:34">
      <c r="B186" s="246">
        <v>500</v>
      </c>
      <c r="C186" s="299">
        <f t="shared" si="29"/>
        <v>0.69712671138862625</v>
      </c>
      <c r="D186" s="13"/>
      <c r="E186" s="311"/>
      <c r="F186" s="312"/>
      <c r="G186" s="313"/>
      <c r="H186" s="323"/>
      <c r="I186" s="315"/>
      <c r="J186" s="247"/>
    </row>
    <row r="187" spans="2:34">
      <c r="B187" s="246">
        <v>1000</v>
      </c>
      <c r="C187" s="299">
        <f t="shared" si="29"/>
        <v>0.71854743304998059</v>
      </c>
      <c r="D187" s="13"/>
      <c r="E187" s="311"/>
      <c r="F187" s="317" t="s">
        <v>269</v>
      </c>
      <c r="G187" s="316"/>
      <c r="H187" s="316"/>
      <c r="I187" s="315"/>
      <c r="J187" s="247"/>
    </row>
    <row r="188" spans="2:34">
      <c r="B188" s="246">
        <v>1500</v>
      </c>
      <c r="C188" s="299">
        <f t="shared" si="29"/>
        <v>0.73374567693760828</v>
      </c>
      <c r="D188" s="13"/>
      <c r="E188" s="311"/>
      <c r="F188" s="317" t="s">
        <v>87</v>
      </c>
      <c r="G188" s="324">
        <v>5.8700000000000002E-2</v>
      </c>
      <c r="H188" s="316"/>
      <c r="I188" s="315"/>
      <c r="J188" s="247"/>
    </row>
    <row r="189" spans="2:34">
      <c r="B189" s="246">
        <v>2000</v>
      </c>
      <c r="C189" s="299">
        <f t="shared" si="29"/>
        <v>0.74553435075353791</v>
      </c>
      <c r="D189" s="13"/>
      <c r="E189" s="318"/>
      <c r="F189" s="319" t="s">
        <v>88</v>
      </c>
      <c r="G189" s="325">
        <v>0.36909999999999998</v>
      </c>
      <c r="H189" s="218"/>
      <c r="I189" s="320"/>
      <c r="J189" s="247"/>
    </row>
    <row r="190" spans="2:34">
      <c r="B190" s="246">
        <v>2500</v>
      </c>
      <c r="C190" s="299">
        <f t="shared" si="29"/>
        <v>0.75516639859896251</v>
      </c>
      <c r="D190" s="13"/>
      <c r="E190" s="13"/>
      <c r="F190" s="13"/>
      <c r="G190" s="13"/>
      <c r="H190" s="13"/>
      <c r="I190" s="13"/>
      <c r="J190" s="247"/>
    </row>
    <row r="191" spans="2:34">
      <c r="B191" s="246">
        <v>3000</v>
      </c>
      <c r="C191" s="299">
        <f t="shared" si="29"/>
        <v>0.7633101790142367</v>
      </c>
      <c r="D191" s="13"/>
      <c r="E191" s="13"/>
      <c r="F191" s="13"/>
      <c r="G191" s="13"/>
      <c r="H191" s="13"/>
      <c r="I191" s="13"/>
      <c r="J191" s="247"/>
      <c r="AB191" s="79"/>
      <c r="AC191" s="79"/>
    </row>
    <row r="192" spans="2:34">
      <c r="B192" s="246">
        <v>3500</v>
      </c>
      <c r="C192" s="299">
        <f t="shared" si="29"/>
        <v>0.7703646424865902</v>
      </c>
      <c r="D192" s="13"/>
      <c r="E192" s="13"/>
      <c r="F192" s="13"/>
      <c r="G192" s="13"/>
      <c r="H192" s="13"/>
      <c r="I192" s="13"/>
      <c r="J192" s="247"/>
      <c r="AB192" s="79"/>
      <c r="AC192" s="79"/>
    </row>
    <row r="193" spans="2:29">
      <c r="B193" s="246">
        <v>4000</v>
      </c>
      <c r="C193" s="299">
        <f t="shared" si="29"/>
        <v>0.77658712026031684</v>
      </c>
      <c r="D193" s="13"/>
      <c r="E193" s="13"/>
      <c r="F193" s="13"/>
      <c r="G193" s="13"/>
      <c r="H193" s="13"/>
      <c r="I193" s="13"/>
      <c r="J193" s="247"/>
      <c r="AB193" s="79"/>
      <c r="AC193" s="79"/>
    </row>
    <row r="194" spans="2:29">
      <c r="B194" s="246">
        <v>4500</v>
      </c>
      <c r="C194" s="299">
        <f t="shared" si="29"/>
        <v>0.78215331630251994</v>
      </c>
      <c r="D194" s="13"/>
      <c r="E194" s="13"/>
      <c r="F194" s="13"/>
      <c r="G194" s="13"/>
      <c r="H194" s="13"/>
      <c r="I194" s="13"/>
      <c r="J194" s="247"/>
      <c r="AB194" s="79"/>
      <c r="AC194" s="79"/>
    </row>
    <row r="195" spans="2:29" ht="13.5" thickBot="1">
      <c r="B195" s="64">
        <v>5000</v>
      </c>
      <c r="C195" s="300">
        <f t="shared" si="29"/>
        <v>0.78718855310158231</v>
      </c>
      <c r="D195" s="13"/>
      <c r="E195" s="13"/>
      <c r="F195" s="13"/>
      <c r="G195" s="13"/>
      <c r="H195" s="13"/>
      <c r="I195" s="13"/>
      <c r="J195" s="247"/>
      <c r="AB195" s="79"/>
      <c r="AC195" s="79"/>
    </row>
    <row r="196" spans="2:29">
      <c r="B196" s="246">
        <v>5500</v>
      </c>
      <c r="C196" s="373"/>
      <c r="D196" s="13"/>
      <c r="E196" s="13"/>
      <c r="F196" s="13"/>
      <c r="G196" s="13"/>
      <c r="H196" s="13"/>
      <c r="I196" s="13"/>
      <c r="J196" s="247"/>
      <c r="AB196" s="79"/>
      <c r="AC196" s="79"/>
    </row>
    <row r="197" spans="2:29" ht="13.5" thickBot="1">
      <c r="B197" s="246"/>
      <c r="C197" s="373"/>
      <c r="D197" s="13"/>
      <c r="E197" s="13"/>
      <c r="F197" s="13"/>
      <c r="G197" s="13"/>
      <c r="H197" s="13"/>
      <c r="I197" s="13"/>
      <c r="J197" s="247"/>
    </row>
    <row r="198" spans="2:29">
      <c r="B198" s="243" t="s">
        <v>239</v>
      </c>
      <c r="C198" s="45"/>
      <c r="D198" s="13"/>
      <c r="E198" s="146" t="s">
        <v>240</v>
      </c>
      <c r="F198" s="146"/>
      <c r="G198" s="13"/>
      <c r="H198" s="13"/>
      <c r="I198" s="13"/>
      <c r="J198" s="247"/>
    </row>
    <row r="199" spans="2:29">
      <c r="B199" s="246" t="s">
        <v>205</v>
      </c>
      <c r="C199" s="247"/>
      <c r="D199" s="13"/>
      <c r="E199" s="306" t="s">
        <v>71</v>
      </c>
      <c r="F199" s="322" t="e">
        <f>VLOOKUP(BHP_TOTAL,B201:C213,2)</f>
        <v>#DIV/0!</v>
      </c>
      <c r="G199" s="13"/>
      <c r="H199" s="13"/>
      <c r="I199" s="13"/>
      <c r="J199" s="247"/>
    </row>
    <row r="200" spans="2:29" ht="13.5" thickBot="1">
      <c r="B200" s="64" t="s">
        <v>224</v>
      </c>
      <c r="C200" s="65" t="s">
        <v>271</v>
      </c>
      <c r="D200" s="13"/>
      <c r="E200" s="13"/>
      <c r="F200" s="13"/>
      <c r="G200" s="13"/>
      <c r="H200" s="13"/>
      <c r="I200" s="13"/>
      <c r="J200" s="247"/>
    </row>
    <row r="201" spans="2:29">
      <c r="B201" s="246">
        <v>0</v>
      </c>
      <c r="C201" s="302">
        <v>0.89500000000000002</v>
      </c>
      <c r="D201" s="13"/>
      <c r="E201" s="13"/>
      <c r="F201" s="13"/>
      <c r="G201" s="13"/>
      <c r="H201" s="13"/>
      <c r="I201" s="13"/>
      <c r="J201" s="247"/>
    </row>
    <row r="202" spans="2:29">
      <c r="B202" s="246">
        <v>5</v>
      </c>
      <c r="C202" s="302">
        <v>0.91</v>
      </c>
      <c r="D202" s="13"/>
      <c r="E202" s="13"/>
      <c r="F202" s="13"/>
      <c r="G202" s="13"/>
      <c r="H202" s="13"/>
      <c r="I202" s="13"/>
      <c r="J202" s="247"/>
    </row>
    <row r="203" spans="2:29">
      <c r="B203" s="246">
        <v>10</v>
      </c>
      <c r="C203" s="302">
        <v>0.92400000000000004</v>
      </c>
      <c r="D203" s="13"/>
      <c r="E203" s="13"/>
      <c r="F203" s="13"/>
      <c r="G203" s="13"/>
      <c r="H203" s="13"/>
      <c r="I203" s="13"/>
      <c r="J203" s="247"/>
    </row>
    <row r="204" spans="2:29">
      <c r="B204" s="246">
        <v>15</v>
      </c>
      <c r="C204" s="302">
        <v>0.92400000000000004</v>
      </c>
      <c r="D204" s="13"/>
      <c r="E204" s="13"/>
      <c r="F204" s="13"/>
      <c r="G204" s="13"/>
      <c r="H204" s="13"/>
      <c r="I204" s="13"/>
      <c r="J204" s="247"/>
    </row>
    <row r="205" spans="2:29">
      <c r="B205" s="246">
        <v>20</v>
      </c>
      <c r="C205" s="302">
        <v>0.93600000000000005</v>
      </c>
      <c r="D205" s="13"/>
      <c r="E205" s="13"/>
      <c r="F205" s="13"/>
      <c r="G205" s="13"/>
      <c r="H205" s="13"/>
      <c r="I205" s="13"/>
      <c r="J205" s="247"/>
    </row>
    <row r="206" spans="2:29">
      <c r="B206" s="246">
        <v>30</v>
      </c>
      <c r="C206" s="302">
        <v>0.94099999999999995</v>
      </c>
      <c r="D206" s="13"/>
      <c r="E206" s="13"/>
      <c r="F206" s="13"/>
      <c r="G206" s="13"/>
      <c r="H206" s="13"/>
      <c r="I206" s="13"/>
      <c r="J206" s="247"/>
    </row>
    <row r="207" spans="2:29">
      <c r="B207" s="246">
        <v>40</v>
      </c>
      <c r="C207" s="302">
        <v>0.94099999999999995</v>
      </c>
      <c r="D207" s="13"/>
      <c r="E207" s="13"/>
      <c r="F207" s="13"/>
      <c r="G207" s="13"/>
      <c r="H207" s="13"/>
      <c r="I207" s="13"/>
      <c r="J207" s="247"/>
    </row>
    <row r="208" spans="2:29">
      <c r="B208" s="246">
        <v>60</v>
      </c>
      <c r="C208" s="302">
        <v>0.95</v>
      </c>
      <c r="D208" s="13"/>
      <c r="E208" s="13"/>
      <c r="F208" s="13"/>
      <c r="G208" s="13"/>
      <c r="H208" s="13"/>
      <c r="I208" s="13"/>
      <c r="J208" s="247"/>
    </row>
    <row r="209" spans="2:10">
      <c r="B209" s="246">
        <v>75</v>
      </c>
      <c r="C209" s="302">
        <v>0.95399999999999996</v>
      </c>
      <c r="D209" s="13"/>
      <c r="E209" s="13"/>
      <c r="F209" s="13"/>
      <c r="G209" s="13"/>
      <c r="H209" s="13"/>
      <c r="I209" s="13"/>
      <c r="J209" s="247"/>
    </row>
    <row r="210" spans="2:10">
      <c r="B210" s="246">
        <v>100</v>
      </c>
      <c r="C210" s="302">
        <v>0.95399999999999996</v>
      </c>
      <c r="D210" s="13"/>
      <c r="E210" s="13"/>
      <c r="F210" s="13"/>
      <c r="G210" s="13"/>
      <c r="H210" s="13"/>
      <c r="I210" s="13"/>
      <c r="J210" s="247"/>
    </row>
    <row r="211" spans="2:10">
      <c r="B211" s="246">
        <v>125</v>
      </c>
      <c r="C211" s="302">
        <v>0.95799999999999996</v>
      </c>
      <c r="D211" s="13"/>
      <c r="E211" s="13"/>
      <c r="F211" s="13"/>
      <c r="G211" s="13"/>
      <c r="H211" s="13"/>
      <c r="I211" s="13"/>
      <c r="J211" s="247"/>
    </row>
    <row r="212" spans="2:10">
      <c r="B212" s="246">
        <v>150</v>
      </c>
      <c r="C212" s="302">
        <v>0.95799999999999996</v>
      </c>
      <c r="D212" s="13"/>
      <c r="E212" s="13"/>
      <c r="F212" s="13"/>
      <c r="G212" s="13"/>
      <c r="H212" s="13"/>
      <c r="I212" s="13"/>
      <c r="J212" s="247"/>
    </row>
    <row r="213" spans="2:10" ht="13.5" thickBot="1">
      <c r="B213" s="301">
        <v>200</v>
      </c>
      <c r="C213" s="303">
        <v>0.95799999999999996</v>
      </c>
      <c r="D213" s="13"/>
      <c r="E213" s="13"/>
      <c r="F213" s="13"/>
      <c r="G213" s="13"/>
      <c r="H213" s="13"/>
      <c r="I213" s="13"/>
      <c r="J213" s="247"/>
    </row>
    <row r="214" spans="2:10">
      <c r="B214" s="246"/>
      <c r="C214" s="13"/>
      <c r="D214" s="13"/>
      <c r="E214" s="13"/>
      <c r="F214" s="13"/>
      <c r="G214" s="13"/>
      <c r="H214" s="13"/>
      <c r="I214" s="13"/>
      <c r="J214" s="247"/>
    </row>
    <row r="215" spans="2:10">
      <c r="B215" s="326" t="s">
        <v>212</v>
      </c>
      <c r="C215" s="304">
        <v>0.6</v>
      </c>
      <c r="D215" s="13" t="s">
        <v>214</v>
      </c>
      <c r="E215" s="13"/>
      <c r="F215" s="13"/>
      <c r="G215" s="13"/>
      <c r="H215" s="13"/>
      <c r="I215" s="13"/>
      <c r="J215" s="247"/>
    </row>
    <row r="216" spans="2:10">
      <c r="B216" s="326" t="s">
        <v>213</v>
      </c>
      <c r="C216" s="305">
        <v>0.75</v>
      </c>
      <c r="D216" s="13"/>
      <c r="E216" s="13"/>
      <c r="F216" s="13"/>
      <c r="G216" s="13"/>
      <c r="H216" s="13"/>
      <c r="I216" s="13"/>
      <c r="J216" s="247"/>
    </row>
    <row r="217" spans="2:10">
      <c r="B217" s="326" t="s">
        <v>70</v>
      </c>
      <c r="C217" s="305">
        <v>0.97</v>
      </c>
      <c r="D217" s="13"/>
      <c r="E217" s="13"/>
      <c r="F217" s="13"/>
      <c r="G217" s="13"/>
      <c r="H217" s="13"/>
      <c r="I217" s="13"/>
      <c r="J217" s="247"/>
    </row>
    <row r="218" spans="2:10" ht="13.5" thickBot="1">
      <c r="B218" s="64"/>
      <c r="C218" s="248"/>
      <c r="D218" s="248"/>
      <c r="E218" s="248"/>
      <c r="F218" s="248"/>
      <c r="G218" s="248"/>
      <c r="H218" s="248"/>
      <c r="I218" s="248"/>
      <c r="J218" s="65"/>
    </row>
    <row r="248" spans="3:5">
      <c r="C248" s="80"/>
      <c r="D248" s="80"/>
      <c r="E248" s="371"/>
    </row>
    <row r="249" spans="3:5">
      <c r="C249" s="80"/>
      <c r="D249" s="80"/>
      <c r="E249" s="370"/>
    </row>
    <row r="250" spans="3:5">
      <c r="C250" s="13"/>
      <c r="D250" s="80"/>
      <c r="E250" s="371"/>
    </row>
    <row r="252" spans="3:5">
      <c r="C252" s="80"/>
      <c r="D252" s="80"/>
      <c r="E252" s="370"/>
    </row>
    <row r="253" spans="3:5">
      <c r="C253" s="13"/>
      <c r="D253" s="80"/>
      <c r="E253" s="371"/>
    </row>
    <row r="254" spans="3:5">
      <c r="C254" s="80"/>
      <c r="D254" s="80"/>
      <c r="E254" s="371"/>
    </row>
    <row r="256" spans="3:5">
      <c r="C256" s="13"/>
      <c r="D256" s="80"/>
      <c r="E256" s="371"/>
    </row>
    <row r="257" spans="3:5">
      <c r="C257" s="80"/>
      <c r="D257" s="80"/>
      <c r="E257" s="371"/>
    </row>
  </sheetData>
  <sheetProtection sheet="1" objects="1" scenarios="1"/>
  <mergeCells count="45">
    <mergeCell ref="P96:U96"/>
    <mergeCell ref="Q71:R71"/>
    <mergeCell ref="L125:M125"/>
    <mergeCell ref="G55:H55"/>
    <mergeCell ref="G71:H71"/>
    <mergeCell ref="U71:V71"/>
    <mergeCell ref="O55:P55"/>
    <mergeCell ref="O71:P71"/>
    <mergeCell ref="U55:V55"/>
    <mergeCell ref="S71:T71"/>
    <mergeCell ref="M55:N55"/>
    <mergeCell ref="E71:F71"/>
    <mergeCell ref="I71:J71"/>
    <mergeCell ref="K71:L71"/>
    <mergeCell ref="I55:J55"/>
    <mergeCell ref="K55:L55"/>
    <mergeCell ref="E55:F55"/>
    <mergeCell ref="I8:Q8"/>
    <mergeCell ref="B21:F21"/>
    <mergeCell ref="B9:B10"/>
    <mergeCell ref="C9:D9"/>
    <mergeCell ref="E9:F9"/>
    <mergeCell ref="B125:D125"/>
    <mergeCell ref="C55:D55"/>
    <mergeCell ref="C71:D71"/>
    <mergeCell ref="Y8:AB8"/>
    <mergeCell ref="B22:B23"/>
    <mergeCell ref="C22:D22"/>
    <mergeCell ref="E22:F22"/>
    <mergeCell ref="V9:W9"/>
    <mergeCell ref="U8:W8"/>
    <mergeCell ref="W55:X55"/>
    <mergeCell ref="S55:T55"/>
    <mergeCell ref="Q55:R55"/>
    <mergeCell ref="M71:N71"/>
    <mergeCell ref="B8:F8"/>
    <mergeCell ref="I9:I10"/>
    <mergeCell ref="J9:P9"/>
    <mergeCell ref="AF96:AG96"/>
    <mergeCell ref="AH96:AI96"/>
    <mergeCell ref="X96:Z96"/>
    <mergeCell ref="AA96:AC96"/>
    <mergeCell ref="Y55:Z55"/>
    <mergeCell ref="Y71:Z71"/>
    <mergeCell ref="W71:X71"/>
  </mergeCells>
  <phoneticPr fontId="0" type="noConversion"/>
  <dataValidations count="1">
    <dataValidation type="list" allowBlank="1" showInputMessage="1" showErrorMessage="1" sqref="F52:F53">
      <formula1>B$57:B$68</formula1>
    </dataValidation>
  </dataValidations>
  <pageMargins left="0.75" right="0.75" top="1" bottom="1" header="0.5" footer="0.5"/>
  <pageSetup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4"/>
  <dimension ref="A1:D10"/>
  <sheetViews>
    <sheetView workbookViewId="0">
      <selection activeCell="D15" sqref="D15"/>
    </sheetView>
  </sheetViews>
  <sheetFormatPr defaultRowHeight="12.75"/>
  <cols>
    <col min="2" max="3" width="52.85546875" style="412" customWidth="1"/>
    <col min="4" max="4" width="14.5703125" customWidth="1"/>
  </cols>
  <sheetData>
    <row r="1" spans="1:4">
      <c r="A1" t="s">
        <v>285</v>
      </c>
      <c r="B1" s="412" t="s">
        <v>286</v>
      </c>
      <c r="C1" s="412" t="s">
        <v>287</v>
      </c>
      <c r="D1" t="s">
        <v>291</v>
      </c>
    </row>
    <row r="2" spans="1:4" ht="25.5">
      <c r="A2">
        <v>1.1000000000000001</v>
      </c>
      <c r="B2" s="415" t="s">
        <v>278</v>
      </c>
    </row>
    <row r="3" spans="1:4" ht="25.5">
      <c r="A3">
        <v>1.1000000000000001</v>
      </c>
      <c r="B3" s="415" t="s">
        <v>279</v>
      </c>
    </row>
    <row r="4" spans="1:4" ht="25.5">
      <c r="A4">
        <v>1.2</v>
      </c>
      <c r="B4" s="412" t="s">
        <v>288</v>
      </c>
      <c r="C4" s="412" t="s">
        <v>289</v>
      </c>
      <c r="D4" s="414">
        <v>39588</v>
      </c>
    </row>
    <row r="5" spans="1:4" ht="89.25">
      <c r="A5">
        <v>1.2</v>
      </c>
      <c r="B5" s="413" t="s">
        <v>290</v>
      </c>
      <c r="C5" s="412" t="s">
        <v>289</v>
      </c>
      <c r="D5" s="414">
        <v>39589</v>
      </c>
    </row>
    <row r="6" spans="1:4">
      <c r="B6" s="412" t="s">
        <v>292</v>
      </c>
      <c r="C6" s="412" t="s">
        <v>289</v>
      </c>
    </row>
    <row r="7" spans="1:4">
      <c r="A7">
        <v>1.4</v>
      </c>
      <c r="B7" s="490" t="s">
        <v>301</v>
      </c>
    </row>
    <row r="8" spans="1:4">
      <c r="A8">
        <v>1.5</v>
      </c>
      <c r="B8" s="490" t="s">
        <v>302</v>
      </c>
      <c r="C8" s="490" t="s">
        <v>289</v>
      </c>
      <c r="D8" s="414">
        <v>40311</v>
      </c>
    </row>
    <row r="9" spans="1:4" ht="25.5">
      <c r="B9" s="490" t="s">
        <v>303</v>
      </c>
      <c r="C9" s="490" t="s">
        <v>289</v>
      </c>
      <c r="D9" s="414">
        <v>40311</v>
      </c>
    </row>
    <row r="10" spans="1:4" ht="89.25">
      <c r="A10">
        <v>1.6</v>
      </c>
      <c r="B10" s="490" t="s">
        <v>305</v>
      </c>
      <c r="C10" s="490" t="s">
        <v>289</v>
      </c>
      <c r="D10" s="414">
        <v>40550</v>
      </c>
    </row>
  </sheetData>
  <phoneticPr fontId="1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46</vt:i4>
      </vt:variant>
    </vt:vector>
  </HeadingPairs>
  <TitlesOfParts>
    <vt:vector size="52" baseType="lpstr">
      <vt:lpstr>Introduction v1.5</vt:lpstr>
      <vt:lpstr>System Assumptions</vt:lpstr>
      <vt:lpstr>Economic Assumptions</vt:lpstr>
      <vt:lpstr>Piping Circuit</vt:lpstr>
      <vt:lpstr>Constants</vt:lpstr>
      <vt:lpstr>Versions</vt:lpstr>
      <vt:lpstr>BHP_TOTAL</vt:lpstr>
      <vt:lpstr>BHP_TOTAL_W_SF</vt:lpstr>
      <vt:lpstr>CALCED</vt:lpstr>
      <vt:lpstr>CONST_VAR_UI</vt:lpstr>
      <vt:lpstr>CV_VALVES</vt:lpstr>
      <vt:lpstr>EROSION_LMT_EXCEED</vt:lpstr>
      <vt:lpstr>EROSION_SHT</vt:lpstr>
      <vt:lpstr>EROSION_UI</vt:lpstr>
      <vt:lpstr>GPM</vt:lpstr>
      <vt:lpstr>GPM_ROUNDED</vt:lpstr>
      <vt:lpstr>INSULATE_DEFAULT</vt:lpstr>
      <vt:lpstr>INSULATE_NONE</vt:lpstr>
      <vt:lpstr>INSULATE_SHT</vt:lpstr>
      <vt:lpstr>INSULATE_UI</vt:lpstr>
      <vt:lpstr>K_COPPER</vt:lpstr>
      <vt:lpstr>K_STEEL</vt:lpstr>
      <vt:lpstr>LAST_ROW</vt:lpstr>
      <vt:lpstr>NOISE_LMT_EXCEED</vt:lpstr>
      <vt:lpstr>NOISE_SHT</vt:lpstr>
      <vt:lpstr>NOISE_UI</vt:lpstr>
      <vt:lpstr>OptimizedCost</vt:lpstr>
      <vt:lpstr>PIPE_ID</vt:lpstr>
      <vt:lpstr>PIPE_SIZE</vt:lpstr>
      <vt:lpstr>PIPE_SIZE_AUTO</vt:lpstr>
      <vt:lpstr>PIPE_SIZE_OPTIONS</vt:lpstr>
      <vt:lpstr>PIPE_SIZE_UI</vt:lpstr>
      <vt:lpstr>PrevOptimizedCost</vt:lpstr>
      <vt:lpstr>PrevPipeSize</vt:lpstr>
      <vt:lpstr>PRICE_COPPER</vt:lpstr>
      <vt:lpstr>PRICE_STEEL</vt:lpstr>
      <vt:lpstr>SEG_DESCRIPTION</vt:lpstr>
      <vt:lpstr>SEG_GROUP</vt:lpstr>
      <vt:lpstr>SEGMENT_INPUTS</vt:lpstr>
      <vt:lpstr>SEGMENT_INPUTS_1</vt:lpstr>
      <vt:lpstr>SEGMENT_INPUTS_2</vt:lpstr>
      <vt:lpstr>SEGMENT_INPUTS_3</vt:lpstr>
      <vt:lpstr>SEGMENT_INPUTS_4</vt:lpstr>
      <vt:lpstr>SEGMENT_INPUTS_5</vt:lpstr>
      <vt:lpstr>SEGMENT_INPUTS_6</vt:lpstr>
      <vt:lpstr>SEGMENT_INPUTS_7</vt:lpstr>
      <vt:lpstr>SEGMENT_INPUTS_8</vt:lpstr>
      <vt:lpstr>SEGMENT_INPUTS_9</vt:lpstr>
      <vt:lpstr>SUM_TOTAL_COST</vt:lpstr>
      <vt:lpstr>SYSTEM_GPM</vt:lpstr>
      <vt:lpstr>TOTAL_COST</vt:lpstr>
      <vt:lpstr>USABLE_ROWS</vt:lpstr>
    </vt:vector>
  </TitlesOfParts>
  <Company>Taylor Engineering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T. Taylor</dc:creator>
  <cp:lastModifiedBy>Molly McGuire</cp:lastModifiedBy>
  <cp:lastPrinted>2009-09-10T23:36:07Z</cp:lastPrinted>
  <dcterms:created xsi:type="dcterms:W3CDTF">1998-11-25T16:55:59Z</dcterms:created>
  <dcterms:modified xsi:type="dcterms:W3CDTF">2011-01-07T15:23:23Z</dcterms:modified>
</cp:coreProperties>
</file>