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3.xml" ContentType="application/vnd.openxmlformats-officedocument.spreadsheetml.chartsheet+xml"/>
  <Override PartName="/xl/worksheets/sheet18.xml" ContentType="application/vnd.openxmlformats-officedocument.spreadsheetml.worksheet+xml"/>
  <Override PartName="/xl/chartsheets/sheet14.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1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2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2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26.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2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30.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3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drawings/drawing34.xml" ContentType="application/vnd.openxmlformats-officedocument.drawing+xml"/>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drawings/drawing3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D:\FDE Tools\Affinity Laws\Affinity Law Application Example\"/>
    </mc:Choice>
  </mc:AlternateContent>
  <bookViews>
    <workbookView xWindow="0" yWindow="0" windowWidth="28773" windowHeight="11233" tabRatio="721" firstSheet="5" activeTab="5"/>
  </bookViews>
  <sheets>
    <sheet name="1510 6G 1150rpm" sheetId="1" r:id="rId1"/>
    <sheet name="Impeller 6G 1150" sheetId="2" r:id="rId2"/>
    <sheet name="Efficiency 6G 1150" sheetId="3" r:id="rId3"/>
    <sheet name="Brake Horsepower 6G 1150" sheetId="4" r:id="rId4"/>
    <sheet name="1510 6G 1150 Curve Full" sheetId="27" r:id="rId5"/>
    <sheet name="1510 6G 1150 Curve" sheetId="9" r:id="rId6"/>
    <sheet name="Design Point System Curve" sheetId="7" r:id="rId7"/>
    <sheet name="System Curve - Design" sheetId="8" r:id="rId8"/>
    <sheet name="Design Impeller from Largest" sheetId="10" r:id="rId9"/>
    <sheet name="Impeller Size Estimate" sheetId="11" r:id="rId10"/>
    <sheet name="75 Pct" sheetId="28" r:id="rId11"/>
    <sheet name="75 Pct Point" sheetId="34" r:id="rId12"/>
    <sheet name="75 Pct System Curve" sheetId="35" r:id="rId13"/>
    <sheet name="75 Pct Design" sheetId="33" r:id="rId14"/>
    <sheet name="75 Pct Speed Estimate " sheetId="31" r:id="rId15"/>
    <sheet name="75 Pct  Speed" sheetId="32" r:id="rId16"/>
    <sheet name="75 Pct Speed Estimate Tweak" sheetId="29" r:id="rId17"/>
    <sheet name="75 Pct Tweaked Speed" sheetId="23" r:id="rId18"/>
    <sheet name="50 Pct" sheetId="36" r:id="rId19"/>
    <sheet name="50 Pct Speed Estimate Tweak" sheetId="37" r:id="rId20"/>
    <sheet name="50 Pct Tweaked Speed" sheetId="38" r:id="rId21"/>
    <sheet name="25 Pct " sheetId="39" r:id="rId22"/>
    <sheet name="25 Pct Speed Estimate Tweak" sheetId="40" r:id="rId23"/>
    <sheet name="25 Pct Tweaked Speed" sheetId="41" r:id="rId24"/>
    <sheet name="12.5 Pct" sheetId="42" r:id="rId25"/>
    <sheet name="12.5 Pct Speed Estimate Tweak" sheetId="43" r:id="rId26"/>
    <sheet name="12.5 Pct Tweaked Speed" sheetId="44" r:id="rId27"/>
    <sheet name="Summary" sheetId="46" r:id="rId28"/>
    <sheet name="Motor Eff Data" sheetId="47" r:id="rId29"/>
    <sheet name="30hp Motor Eff Curve" sheetId="48" r:id="rId30"/>
    <sheet name="VFD Data &gt;= 20 hp" sheetId="49" r:id="rId31"/>
    <sheet name="30hp VFD Eff Curve" sheetId="50" r:id="rId32"/>
  </sheets>
  <externalReferences>
    <externalReference r:id="rId33"/>
    <externalReference r:id="rId34"/>
  </externalReferences>
  <definedNames>
    <definedName name="DateTimes">OFFSET([1]OtherTimeSeries!$A$13,0,0,[0]!numRows,1)</definedName>
    <definedName name="numLastRow">999990</definedName>
    <definedName name="numRows">COUNT([1]OtherTimeSeries!$A$13:INDIRECT("OtherTimeSeries!$A$" &amp; numLastRow))</definedName>
    <definedName name="numRowsWthr">COUNT(#REF!:INDIRECT("WthrData!$B$" &amp; numLastRow))</definedName>
    <definedName name="PeakDemands">OFFSET([1]OtherTimeSeries!$D$13,0,0,[0]!numRows,1)</definedName>
    <definedName name="_xlnm.Print_Area" localSheetId="24">'12.5 Pct'!#REF!</definedName>
    <definedName name="_xlnm.Print_Area" localSheetId="25">'Design Point System Curve'!#REF!</definedName>
    <definedName name="_xlnm.Print_Area" localSheetId="21">'25 Pct '!#REF!</definedName>
    <definedName name="_xlnm.Print_Area" localSheetId="22">'Design Point System Curve'!#REF!</definedName>
    <definedName name="_xlnm.Print_Area" localSheetId="18">'50 Pct'!#REF!</definedName>
    <definedName name="_xlnm.Print_Area" localSheetId="19">'Design Point System Curve'!#REF!</definedName>
    <definedName name="_xlnm.Print_Area" localSheetId="10">'75 Pct'!#REF!</definedName>
    <definedName name="_xlnm.Print_Area" localSheetId="14">'Design Point System Curve'!#REF!</definedName>
    <definedName name="_xlnm.Print_Area" localSheetId="16">'Design Point System Curve'!#REF!</definedName>
    <definedName name="_xlnm.Print_Area">'Design Point System Curve'!#REF!</definedName>
    <definedName name="_xlnm.Print_Titles" localSheetId="24">'12.5 Pct'!$1:$17</definedName>
    <definedName name="_xlnm.Print_Titles" localSheetId="21">'25 Pct '!$1:$17</definedName>
    <definedName name="_xlnm.Print_Titles" localSheetId="18">'50 Pct'!$1:$17</definedName>
    <definedName name="_xlnm.Print_Titles" localSheetId="10">'75 Pct'!$1:$17</definedName>
    <definedName name="_xlnm.Print_Titles">'Design Point System Curve'!$1:$18</definedName>
    <definedName name="QueryInterval">[1]Lists!$C$6:$C$7</definedName>
    <definedName name="rngWthr">OFFSET(#REF!,1,0,numRowsWthr,4)</definedName>
    <definedName name="rngWthrAllDateTimes">OFFSET(rngWthrFirstDateTime,0,0,[0]!numRowsWthr,1)</definedName>
    <definedName name="rngWthrDate1">OFFSET(rngWthrFirstDateTime,MATCH([1]Calcs!$A1,rngWthrAllDateTimes),0,1,1)</definedName>
    <definedName name="rngWthrDate2">OFFSET(#REF!,MATCH([1]Calcs!$A1-[1]Calcs!$D1+1,rngWthrAllDateTimes),0,1,1)</definedName>
    <definedName name="rngWthrDateTimes">OFFSET([0]!rngWthrDate2,0,0,COUNTA([0]!rngWthrDate1:rngWthrDate2),1)</definedName>
    <definedName name="rngWthrFirstDateTime">#REF!</definedName>
    <definedName name="rngWthrSites">OFFSET(#REF!,1,0,numRowsWthr,1)</definedName>
    <definedName name="rngWthrTemps">OFFSET([0]!rngWthrDate2,0,3,COUNTA([0]!rngWthrDate1:rngWthrDate2)-1,1)</definedName>
    <definedName name="StateAirports">OFFSET([1]APwthrSites!$B$1,MATCH([1]WthrQuery!$A$2,[1]APwthrSites!$A$2:$A$2000,0),0,MATCH(OFFSET([1]ListStates!$A$1,MATCH([1]WthrQuery!$A$2,States,0)+1,0),[1]APwthrSites!$A$3:$A$2000,0)-MATCH([1]WthrQuery!$A$2,[1]APwthrSites!$A$3:$A$2000,0),1)</definedName>
    <definedName name="States">[1]ListStates!$A$2:$A$52</definedName>
    <definedName name="tblBillingDates">OFFSET([1]OtherTimeSeries!$A$13,0,0,[0]!numRows,1)</definedName>
    <definedName name="tblBillingDemand">OFFSET(tblBillingDates,0,2)</definedName>
    <definedName name="tblBillingInputDuration">OFFSET(tblBillingDates,0,3)</definedName>
    <definedName name="tblBillingkWh">OFFSET(tblBillingDates,0,1)</definedName>
    <definedName name="xRngInterp">#REF!</definedName>
    <definedName name="yDependColumn">2</definedName>
    <definedName name="yRngInterp">#REF!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 i="43" l="1"/>
  <c r="B18" i="40"/>
  <c r="B18" i="37"/>
  <c r="B18" i="29"/>
  <c r="B18" i="31"/>
  <c r="D97" i="43" l="1"/>
  <c r="D96" i="43"/>
  <c r="D95" i="43"/>
  <c r="D94" i="43"/>
  <c r="D93" i="43"/>
  <c r="D92" i="43"/>
  <c r="D91" i="43"/>
  <c r="D90" i="43"/>
  <c r="D89" i="43"/>
  <c r="D88" i="43"/>
  <c r="D87" i="43"/>
  <c r="D86" i="43"/>
  <c r="D85" i="43"/>
  <c r="D84" i="43"/>
  <c r="D83" i="43"/>
  <c r="D82" i="43"/>
  <c r="D81" i="43"/>
  <c r="D80" i="43"/>
  <c r="D79" i="43"/>
  <c r="D78" i="43"/>
  <c r="D77" i="43"/>
  <c r="D76" i="43"/>
  <c r="D75" i="43"/>
  <c r="D74" i="43"/>
  <c r="D97" i="40"/>
  <c r="D96" i="40"/>
  <c r="D95" i="40"/>
  <c r="D94" i="40"/>
  <c r="D93" i="40"/>
  <c r="D92" i="40"/>
  <c r="D91" i="40"/>
  <c r="D90" i="40"/>
  <c r="D89" i="40"/>
  <c r="D88" i="40"/>
  <c r="D87" i="40"/>
  <c r="D86" i="40"/>
  <c r="D85" i="40"/>
  <c r="D84" i="40"/>
  <c r="D83" i="40"/>
  <c r="D82" i="40"/>
  <c r="D81" i="40"/>
  <c r="D80" i="40"/>
  <c r="D79" i="40"/>
  <c r="D78" i="40"/>
  <c r="D77" i="40"/>
  <c r="D76" i="40"/>
  <c r="D75" i="40"/>
  <c r="D74" i="40"/>
  <c r="D97" i="37"/>
  <c r="D96" i="37"/>
  <c r="D95" i="37"/>
  <c r="D94" i="37"/>
  <c r="D93" i="37"/>
  <c r="D92" i="37"/>
  <c r="D91" i="37"/>
  <c r="D90" i="37"/>
  <c r="D89" i="37"/>
  <c r="D88" i="37"/>
  <c r="D87" i="37"/>
  <c r="D86" i="37"/>
  <c r="D85" i="37"/>
  <c r="D84" i="37"/>
  <c r="D83" i="37"/>
  <c r="D82" i="37"/>
  <c r="D81" i="37"/>
  <c r="D80" i="37"/>
  <c r="D79" i="37"/>
  <c r="D78" i="37"/>
  <c r="D77" i="37"/>
  <c r="D76" i="37"/>
  <c r="D75" i="37"/>
  <c r="D74" i="37"/>
  <c r="D97" i="29"/>
  <c r="D96" i="29"/>
  <c r="D95" i="29"/>
  <c r="D94" i="29"/>
  <c r="D93" i="29"/>
  <c r="D92" i="29"/>
  <c r="D91" i="29"/>
  <c r="D90" i="29"/>
  <c r="D89" i="29"/>
  <c r="D88" i="29"/>
  <c r="D87" i="29"/>
  <c r="D86" i="29"/>
  <c r="D85" i="29"/>
  <c r="D84" i="29"/>
  <c r="D83" i="29"/>
  <c r="D82" i="29"/>
  <c r="D81" i="29"/>
  <c r="D80" i="29"/>
  <c r="D79" i="29"/>
  <c r="D78" i="29"/>
  <c r="D77" i="29"/>
  <c r="D76" i="29"/>
  <c r="D75" i="29"/>
  <c r="D74" i="29"/>
  <c r="D97" i="31"/>
  <c r="D96" i="31"/>
  <c r="D95" i="31"/>
  <c r="D94" i="31"/>
  <c r="D93" i="31"/>
  <c r="D92" i="31"/>
  <c r="D91" i="31"/>
  <c r="D90" i="31"/>
  <c r="D89" i="31"/>
  <c r="D88" i="31"/>
  <c r="D87" i="31"/>
  <c r="D86" i="31"/>
  <c r="D85" i="31"/>
  <c r="D84" i="31"/>
  <c r="D83" i="31"/>
  <c r="D82" i="31"/>
  <c r="D81" i="31"/>
  <c r="D80" i="31"/>
  <c r="D79" i="31"/>
  <c r="D78" i="31"/>
  <c r="D77" i="31"/>
  <c r="D76" i="31"/>
  <c r="D75" i="31"/>
  <c r="D74" i="31"/>
  <c r="D91" i="10" l="1"/>
  <c r="D90" i="10"/>
  <c r="D89" i="10"/>
  <c r="D88" i="10"/>
  <c r="D87" i="10"/>
  <c r="D86" i="10"/>
  <c r="D85" i="10"/>
  <c r="D84" i="10"/>
  <c r="D83" i="10"/>
  <c r="D82" i="10"/>
  <c r="D81" i="10"/>
  <c r="D80" i="10"/>
  <c r="D79" i="10"/>
  <c r="D78" i="10"/>
  <c r="D77" i="10"/>
  <c r="D76" i="10"/>
  <c r="D75" i="10"/>
  <c r="D74" i="10"/>
  <c r="D73" i="10"/>
  <c r="D72" i="10"/>
  <c r="D71" i="10"/>
  <c r="D70" i="10"/>
  <c r="D69" i="10"/>
  <c r="D68" i="10"/>
  <c r="E15" i="46" l="1"/>
  <c r="B15" i="46"/>
  <c r="E14" i="46"/>
  <c r="B14" i="46"/>
  <c r="E13" i="46"/>
  <c r="B13" i="46"/>
  <c r="E12" i="46"/>
  <c r="K47" i="49"/>
  <c r="G47" i="49"/>
  <c r="F47" i="49"/>
  <c r="B25" i="49" s="1"/>
  <c r="E47" i="49"/>
  <c r="D47" i="49"/>
  <c r="C47" i="49"/>
  <c r="B47" i="49"/>
  <c r="B40" i="49"/>
  <c r="B38" i="49"/>
  <c r="B36" i="49"/>
  <c r="B34" i="49"/>
  <c r="B32" i="49"/>
  <c r="B30" i="49"/>
  <c r="D29" i="49"/>
  <c r="C27" i="49"/>
  <c r="B27" i="49"/>
  <c r="Q27" i="49" s="1"/>
  <c r="S27" i="49" s="1"/>
  <c r="C26" i="49"/>
  <c r="B26" i="49"/>
  <c r="K26" i="49" s="1"/>
  <c r="M26" i="49" s="1"/>
  <c r="C25" i="49"/>
  <c r="C24" i="49"/>
  <c r="B24" i="49"/>
  <c r="Q24" i="49" s="1"/>
  <c r="S24" i="49" s="1"/>
  <c r="C23" i="49"/>
  <c r="B23" i="49"/>
  <c r="Q23" i="49" s="1"/>
  <c r="S23" i="49" s="1"/>
  <c r="C22" i="49"/>
  <c r="B22" i="49"/>
  <c r="K22" i="49" s="1"/>
  <c r="M22" i="49" s="1"/>
  <c r="N21" i="49"/>
  <c r="P21" i="49" s="1"/>
  <c r="D21" i="49"/>
  <c r="L21" i="49" s="1"/>
  <c r="C21" i="49"/>
  <c r="B21" i="49"/>
  <c r="E21" i="49" s="1"/>
  <c r="G21" i="49" s="1"/>
  <c r="I21" i="49" s="1"/>
  <c r="S19" i="49"/>
  <c r="R19" i="49"/>
  <c r="Q19" i="49"/>
  <c r="P19" i="49"/>
  <c r="O19" i="49"/>
  <c r="N19" i="49"/>
  <c r="M19" i="49"/>
  <c r="L19" i="49"/>
  <c r="K19" i="49"/>
  <c r="J19" i="49"/>
  <c r="I19" i="49"/>
  <c r="H19" i="49"/>
  <c r="G19" i="49"/>
  <c r="F19" i="49"/>
  <c r="E19" i="49"/>
  <c r="D19" i="49"/>
  <c r="A11" i="49"/>
  <c r="A12" i="49" s="1"/>
  <c r="A13" i="49" s="1"/>
  <c r="B49" i="47"/>
  <c r="B47" i="47"/>
  <c r="B45" i="47"/>
  <c r="B43" i="47"/>
  <c r="B41" i="47"/>
  <c r="D40" i="47"/>
  <c r="O38" i="47"/>
  <c r="N38" i="47"/>
  <c r="P38" i="47" s="1"/>
  <c r="K38" i="47"/>
  <c r="M38" i="47" s="1"/>
  <c r="H38" i="47"/>
  <c r="J38" i="47" s="1"/>
  <c r="G38" i="47"/>
  <c r="E38" i="47"/>
  <c r="D38" i="47"/>
  <c r="F38" i="47" s="1"/>
  <c r="N37" i="47"/>
  <c r="P37" i="47" s="1"/>
  <c r="K37" i="47"/>
  <c r="M37" i="47" s="1"/>
  <c r="H37" i="47"/>
  <c r="J37" i="47" s="1"/>
  <c r="G37" i="47"/>
  <c r="E37" i="47"/>
  <c r="D37" i="47"/>
  <c r="I37" i="47" s="1"/>
  <c r="N36" i="47"/>
  <c r="P36" i="47" s="1"/>
  <c r="K36" i="47"/>
  <c r="M36" i="47" s="1"/>
  <c r="H36" i="47"/>
  <c r="J36" i="47" s="1"/>
  <c r="E36" i="47"/>
  <c r="G36" i="47" s="1"/>
  <c r="D36" i="47"/>
  <c r="O36" i="47" s="1"/>
  <c r="N35" i="47"/>
  <c r="P35" i="47" s="1"/>
  <c r="K35" i="47"/>
  <c r="M35" i="47" s="1"/>
  <c r="H35" i="47"/>
  <c r="J35" i="47" s="1"/>
  <c r="F35" i="47"/>
  <c r="E35" i="47"/>
  <c r="G35" i="47" s="1"/>
  <c r="D35" i="47"/>
  <c r="L35" i="47" s="1"/>
  <c r="N34" i="47"/>
  <c r="P34" i="47" s="1"/>
  <c r="K34" i="47"/>
  <c r="M34" i="47" s="1"/>
  <c r="H34" i="47"/>
  <c r="J34" i="47" s="1"/>
  <c r="G34" i="47"/>
  <c r="F34" i="47"/>
  <c r="E34" i="47"/>
  <c r="D34" i="47"/>
  <c r="L34" i="47" s="1"/>
  <c r="P33" i="47"/>
  <c r="N33" i="47"/>
  <c r="K33" i="47"/>
  <c r="M33" i="47" s="1"/>
  <c r="H33" i="47"/>
  <c r="J33" i="47" s="1"/>
  <c r="E33" i="47"/>
  <c r="G33" i="47" s="1"/>
  <c r="D33" i="47"/>
  <c r="O33" i="47" s="1"/>
  <c r="P32" i="47"/>
  <c r="N32" i="47"/>
  <c r="M32" i="47"/>
  <c r="K32" i="47"/>
  <c r="H32" i="47"/>
  <c r="J32" i="47" s="1"/>
  <c r="E32" i="47"/>
  <c r="G32" i="47" s="1"/>
  <c r="D32" i="47"/>
  <c r="L32" i="47" s="1"/>
  <c r="O31" i="47"/>
  <c r="N31" i="47"/>
  <c r="P31" i="47" s="1"/>
  <c r="M31" i="47"/>
  <c r="K31" i="47"/>
  <c r="I31" i="47"/>
  <c r="H31" i="47"/>
  <c r="J31" i="47" s="1"/>
  <c r="F31" i="47"/>
  <c r="E31" i="47"/>
  <c r="G31" i="47" s="1"/>
  <c r="D31" i="47"/>
  <c r="L31" i="47" s="1"/>
  <c r="N30" i="47"/>
  <c r="P30" i="47" s="1"/>
  <c r="K30" i="47"/>
  <c r="M30" i="47" s="1"/>
  <c r="H30" i="47"/>
  <c r="J30" i="47" s="1"/>
  <c r="G30" i="47"/>
  <c r="E30" i="47"/>
  <c r="D30" i="47"/>
  <c r="F30" i="47" s="1"/>
  <c r="P29" i="47"/>
  <c r="N29" i="47"/>
  <c r="K29" i="47"/>
  <c r="M29" i="47" s="1"/>
  <c r="H29" i="47"/>
  <c r="J29" i="47" s="1"/>
  <c r="E29" i="47"/>
  <c r="G29" i="47" s="1"/>
  <c r="D29" i="47"/>
  <c r="I29" i="47" s="1"/>
  <c r="N28" i="47"/>
  <c r="P28" i="47" s="1"/>
  <c r="M28" i="47"/>
  <c r="K28" i="47"/>
  <c r="H28" i="47"/>
  <c r="J28" i="47" s="1"/>
  <c r="E28" i="47"/>
  <c r="G28" i="47" s="1"/>
  <c r="D28" i="47"/>
  <c r="O28" i="47" s="1"/>
  <c r="N27" i="47"/>
  <c r="P27" i="47" s="1"/>
  <c r="K27" i="47"/>
  <c r="M27" i="47" s="1"/>
  <c r="J27" i="47"/>
  <c r="H27" i="47"/>
  <c r="E27" i="47"/>
  <c r="G27" i="47" s="1"/>
  <c r="D27" i="47"/>
  <c r="L27" i="47" s="1"/>
  <c r="N26" i="47"/>
  <c r="P26" i="47" s="1"/>
  <c r="K26" i="47"/>
  <c r="M26" i="47" s="1"/>
  <c r="H26" i="47"/>
  <c r="J26" i="47" s="1"/>
  <c r="F26" i="47"/>
  <c r="E26" i="47"/>
  <c r="G26" i="47" s="1"/>
  <c r="D26" i="47"/>
  <c r="L26" i="47" s="1"/>
  <c r="N25" i="47"/>
  <c r="P25" i="47" s="1"/>
  <c r="K25" i="47"/>
  <c r="M25" i="47" s="1"/>
  <c r="H25" i="47"/>
  <c r="J25" i="47" s="1"/>
  <c r="E25" i="47"/>
  <c r="G25" i="47" s="1"/>
  <c r="D25" i="47"/>
  <c r="O25" i="47" s="1"/>
  <c r="P24" i="47"/>
  <c r="N24" i="47"/>
  <c r="K24" i="47"/>
  <c r="M24" i="47" s="1"/>
  <c r="H24" i="47"/>
  <c r="J24" i="47" s="1"/>
  <c r="E24" i="47"/>
  <c r="G24" i="47" s="1"/>
  <c r="D24" i="47"/>
  <c r="L24" i="47" s="1"/>
  <c r="O23" i="47"/>
  <c r="N23" i="47"/>
  <c r="P23" i="47" s="1"/>
  <c r="K23" i="47"/>
  <c r="M23" i="47" s="1"/>
  <c r="H23" i="47"/>
  <c r="J23" i="47" s="1"/>
  <c r="F23" i="47"/>
  <c r="E23" i="47"/>
  <c r="G23" i="47" s="1"/>
  <c r="D23" i="47"/>
  <c r="L23" i="47" s="1"/>
  <c r="N22" i="47"/>
  <c r="P22" i="47" s="1"/>
  <c r="K22" i="47"/>
  <c r="M22" i="47" s="1"/>
  <c r="H22" i="47"/>
  <c r="J22" i="47" s="1"/>
  <c r="G22" i="47"/>
  <c r="F22" i="47"/>
  <c r="E22" i="47"/>
  <c r="D22" i="47"/>
  <c r="L22" i="47" s="1"/>
  <c r="P21" i="47"/>
  <c r="N21" i="47"/>
  <c r="K21" i="47"/>
  <c r="M21" i="47" s="1"/>
  <c r="H21" i="47"/>
  <c r="J21" i="47" s="1"/>
  <c r="E21" i="47"/>
  <c r="G21" i="47" s="1"/>
  <c r="D21" i="47"/>
  <c r="I21" i="47" s="1"/>
  <c r="P19" i="47"/>
  <c r="O19" i="47"/>
  <c r="N19" i="47"/>
  <c r="M19" i="47"/>
  <c r="L19" i="47"/>
  <c r="K19" i="47"/>
  <c r="J19" i="47"/>
  <c r="I19" i="47"/>
  <c r="H19" i="47"/>
  <c r="G19" i="47"/>
  <c r="F19" i="47"/>
  <c r="E19" i="47"/>
  <c r="D19" i="47"/>
  <c r="A11" i="47"/>
  <c r="A12" i="47" s="1"/>
  <c r="A13" i="47" s="1"/>
  <c r="Q25" i="49" l="1"/>
  <c r="S25" i="49" s="1"/>
  <c r="K25" i="49"/>
  <c r="M25" i="49" s="1"/>
  <c r="E25" i="49"/>
  <c r="G25" i="49" s="1"/>
  <c r="I25" i="49" s="1"/>
  <c r="D25" i="49"/>
  <c r="N25" i="49"/>
  <c r="P25" i="49" s="1"/>
  <c r="F27" i="47"/>
  <c r="I36" i="47"/>
  <c r="D24" i="49"/>
  <c r="L24" i="49" s="1"/>
  <c r="N24" i="49"/>
  <c r="P24" i="49" s="1"/>
  <c r="F21" i="49"/>
  <c r="I23" i="47"/>
  <c r="I28" i="47"/>
  <c r="I32" i="47"/>
  <c r="I34" i="47"/>
  <c r="I35" i="47"/>
  <c r="E24" i="49"/>
  <c r="G24" i="49" s="1"/>
  <c r="I24" i="49" s="1"/>
  <c r="D26" i="49"/>
  <c r="R26" i="49" s="1"/>
  <c r="I24" i="47"/>
  <c r="I26" i="47"/>
  <c r="I27" i="47"/>
  <c r="O30" i="47"/>
  <c r="D22" i="49"/>
  <c r="R22" i="49" s="1"/>
  <c r="H24" i="49"/>
  <c r="J24" i="49" s="1"/>
  <c r="O22" i="47"/>
  <c r="O34" i="47"/>
  <c r="K24" i="49"/>
  <c r="M24" i="49" s="1"/>
  <c r="O26" i="47"/>
  <c r="O21" i="49"/>
  <c r="E22" i="49"/>
  <c r="G22" i="49" s="1"/>
  <c r="I22" i="49" s="1"/>
  <c r="K23" i="49"/>
  <c r="M23" i="49" s="1"/>
  <c r="O25" i="49"/>
  <c r="E26" i="49"/>
  <c r="G26" i="49" s="1"/>
  <c r="I26" i="49" s="1"/>
  <c r="K27" i="49"/>
  <c r="M27" i="49" s="1"/>
  <c r="L26" i="49"/>
  <c r="H21" i="49"/>
  <c r="J21" i="49" s="1"/>
  <c r="F22" i="49"/>
  <c r="N22" i="49"/>
  <c r="P22" i="49" s="1"/>
  <c r="D23" i="49"/>
  <c r="H25" i="49"/>
  <c r="J25" i="49" s="1"/>
  <c r="F26" i="49"/>
  <c r="N26" i="49"/>
  <c r="P26" i="49" s="1"/>
  <c r="D27" i="49"/>
  <c r="L22" i="49"/>
  <c r="Q21" i="49"/>
  <c r="S21" i="49" s="1"/>
  <c r="O22" i="49"/>
  <c r="E23" i="49"/>
  <c r="G23" i="49" s="1"/>
  <c r="I23" i="49" s="1"/>
  <c r="O26" i="49"/>
  <c r="E27" i="49"/>
  <c r="G27" i="49" s="1"/>
  <c r="I27" i="49" s="1"/>
  <c r="R21" i="49"/>
  <c r="H22" i="49"/>
  <c r="J22" i="49" s="1"/>
  <c r="N23" i="49"/>
  <c r="P23" i="49" s="1"/>
  <c r="R25" i="49"/>
  <c r="H26" i="49"/>
  <c r="J26" i="49" s="1"/>
  <c r="N27" i="49"/>
  <c r="P27" i="49" s="1"/>
  <c r="K21" i="49"/>
  <c r="M21" i="49" s="1"/>
  <c r="Q22" i="49"/>
  <c r="S22" i="49" s="1"/>
  <c r="Q26" i="49"/>
  <c r="S26" i="49" s="1"/>
  <c r="H23" i="49"/>
  <c r="J23" i="49" s="1"/>
  <c r="H27" i="49"/>
  <c r="J27" i="49" s="1"/>
  <c r="L29" i="47"/>
  <c r="L37" i="47"/>
  <c r="F24" i="47"/>
  <c r="I25" i="47"/>
  <c r="O27" i="47"/>
  <c r="F32" i="47"/>
  <c r="I33" i="47"/>
  <c r="O35" i="47"/>
  <c r="L21" i="47"/>
  <c r="F21" i="47"/>
  <c r="I22" i="47"/>
  <c r="O24" i="47"/>
  <c r="F29" i="47"/>
  <c r="I30" i="47"/>
  <c r="O32" i="47"/>
  <c r="F37" i="47"/>
  <c r="I38" i="47"/>
  <c r="O21" i="47"/>
  <c r="L28" i="47"/>
  <c r="O29" i="47"/>
  <c r="L36" i="47"/>
  <c r="O37" i="47"/>
  <c r="L25" i="47"/>
  <c r="L33" i="47"/>
  <c r="F28" i="47"/>
  <c r="L30" i="47"/>
  <c r="F36" i="47"/>
  <c r="L38" i="47"/>
  <c r="F25" i="47"/>
  <c r="F33" i="47"/>
  <c r="O24" i="49" l="1"/>
  <c r="F24" i="49"/>
  <c r="L25" i="49"/>
  <c r="F25" i="49"/>
  <c r="R24" i="49"/>
  <c r="O27" i="49"/>
  <c r="F27" i="49"/>
  <c r="L27" i="49"/>
  <c r="R27" i="49"/>
  <c r="O23" i="49"/>
  <c r="F23" i="49"/>
  <c r="L23" i="49"/>
  <c r="R23" i="49"/>
  <c r="E11" i="46" l="1"/>
  <c r="D11" i="46"/>
  <c r="B11" i="46"/>
  <c r="B74" i="43"/>
  <c r="B61" i="43"/>
  <c r="B97" i="43" s="1"/>
  <c r="B60" i="43"/>
  <c r="B96" i="43" s="1"/>
  <c r="B59" i="43"/>
  <c r="B58" i="43"/>
  <c r="B94" i="43" s="1"/>
  <c r="B57" i="43"/>
  <c r="B93" i="43" s="1"/>
  <c r="B56" i="43"/>
  <c r="B92" i="43" s="1"/>
  <c r="B55" i="43"/>
  <c r="B54" i="43"/>
  <c r="B90" i="43" s="1"/>
  <c r="B53" i="43"/>
  <c r="B89" i="43" s="1"/>
  <c r="B52" i="43"/>
  <c r="B88" i="43" s="1"/>
  <c r="B51" i="43"/>
  <c r="B50" i="43"/>
  <c r="B86" i="43" s="1"/>
  <c r="B49" i="43"/>
  <c r="B85" i="43" s="1"/>
  <c r="B48" i="43"/>
  <c r="B84" i="43" s="1"/>
  <c r="B47" i="43"/>
  <c r="B46" i="43"/>
  <c r="B82" i="43" s="1"/>
  <c r="B45" i="43"/>
  <c r="B81" i="43" s="1"/>
  <c r="B44" i="43"/>
  <c r="B80" i="43" s="1"/>
  <c r="B43" i="43"/>
  <c r="B42" i="43"/>
  <c r="B78" i="43" s="1"/>
  <c r="B41" i="43"/>
  <c r="B77" i="43" s="1"/>
  <c r="B40" i="43"/>
  <c r="B76" i="43" s="1"/>
  <c r="B39" i="43"/>
  <c r="B34" i="43"/>
  <c r="D73" i="43" s="1"/>
  <c r="B17" i="43"/>
  <c r="B21" i="43" s="1"/>
  <c r="D15" i="46" s="1"/>
  <c r="C52" i="42"/>
  <c r="D51" i="42"/>
  <c r="D50" i="42"/>
  <c r="C49" i="42"/>
  <c r="D40" i="42"/>
  <c r="D46" i="42" s="1"/>
  <c r="D52" i="42" s="1"/>
  <c r="C34" i="42"/>
  <c r="C26" i="42"/>
  <c r="C25" i="42"/>
  <c r="C37" i="42" s="1"/>
  <c r="A11" i="42"/>
  <c r="A12" i="42" s="1"/>
  <c r="B90" i="40"/>
  <c r="B86" i="40"/>
  <c r="B74" i="40"/>
  <c r="B61" i="40"/>
  <c r="B97" i="40" s="1"/>
  <c r="B60" i="40"/>
  <c r="B96" i="40" s="1"/>
  <c r="B59" i="40"/>
  <c r="B58" i="40"/>
  <c r="B94" i="40" s="1"/>
  <c r="B57" i="40"/>
  <c r="B93" i="40" s="1"/>
  <c r="B56" i="40"/>
  <c r="B55" i="40"/>
  <c r="B54" i="40"/>
  <c r="B53" i="40"/>
  <c r="B89" i="40" s="1"/>
  <c r="B52" i="40"/>
  <c r="B51" i="40"/>
  <c r="B50" i="40"/>
  <c r="B49" i="40"/>
  <c r="B85" i="40" s="1"/>
  <c r="B48" i="40"/>
  <c r="B47" i="40"/>
  <c r="B46" i="40"/>
  <c r="B82" i="40" s="1"/>
  <c r="B45" i="40"/>
  <c r="B81" i="40" s="1"/>
  <c r="B44" i="40"/>
  <c r="B80" i="40" s="1"/>
  <c r="B43" i="40"/>
  <c r="B42" i="40"/>
  <c r="B78" i="40" s="1"/>
  <c r="B41" i="40"/>
  <c r="B77" i="40" s="1"/>
  <c r="B40" i="40"/>
  <c r="B39" i="40"/>
  <c r="B34" i="40"/>
  <c r="D73" i="40" s="1"/>
  <c r="B17" i="40"/>
  <c r="B21" i="40" s="1"/>
  <c r="D14" i="46" s="1"/>
  <c r="C52" i="39"/>
  <c r="D51" i="39"/>
  <c r="D50" i="39"/>
  <c r="C49" i="39"/>
  <c r="D40" i="39"/>
  <c r="D46" i="39" s="1"/>
  <c r="D52" i="39" s="1"/>
  <c r="C25" i="39"/>
  <c r="C45" i="39" s="1"/>
  <c r="C46" i="39" s="1"/>
  <c r="A12" i="39"/>
  <c r="A11" i="39"/>
  <c r="C30" i="39" l="1"/>
  <c r="C36" i="42"/>
  <c r="C23" i="42"/>
  <c r="C31" i="39"/>
  <c r="C26" i="39"/>
  <c r="C32" i="39"/>
  <c r="C34" i="39"/>
  <c r="C23" i="39"/>
  <c r="C36" i="39"/>
  <c r="C24" i="42"/>
  <c r="C24" i="39"/>
  <c r="C28" i="42"/>
  <c r="C30" i="42"/>
  <c r="C32" i="42"/>
  <c r="C45" i="42"/>
  <c r="C46" i="42" s="1"/>
  <c r="B35" i="43"/>
  <c r="C39" i="43" s="1"/>
  <c r="C75" i="43" s="1"/>
  <c r="E75" i="43" s="1"/>
  <c r="C27" i="42"/>
  <c r="C31" i="42"/>
  <c r="C35" i="42"/>
  <c r="B37" i="43"/>
  <c r="C29" i="42"/>
  <c r="C33" i="42"/>
  <c r="B73" i="43"/>
  <c r="B75" i="43"/>
  <c r="B79" i="43"/>
  <c r="B83" i="43"/>
  <c r="B87" i="43"/>
  <c r="B91" i="43"/>
  <c r="B95" i="43"/>
  <c r="C35" i="39"/>
  <c r="C27" i="39"/>
  <c r="C38" i="39" s="1"/>
  <c r="C28" i="39"/>
  <c r="B35" i="40"/>
  <c r="C54" i="40" s="1"/>
  <c r="C90" i="40" s="1"/>
  <c r="E90" i="40" s="1"/>
  <c r="B84" i="40"/>
  <c r="B92" i="40"/>
  <c r="B37" i="40"/>
  <c r="C29" i="39"/>
  <c r="C33" i="39"/>
  <c r="C37" i="39"/>
  <c r="B73" i="40"/>
  <c r="B75" i="40"/>
  <c r="B79" i="40"/>
  <c r="B83" i="40"/>
  <c r="B87" i="40"/>
  <c r="B91" i="40"/>
  <c r="B95" i="40"/>
  <c r="B76" i="40"/>
  <c r="B88" i="40"/>
  <c r="B17" i="37"/>
  <c r="B21" i="37" s="1"/>
  <c r="D13" i="46" s="1"/>
  <c r="B86" i="37"/>
  <c r="B82" i="37"/>
  <c r="B78" i="37"/>
  <c r="B74" i="37"/>
  <c r="B61" i="37"/>
  <c r="B97" i="37" s="1"/>
  <c r="B60" i="37"/>
  <c r="B96" i="37" s="1"/>
  <c r="B59" i="37"/>
  <c r="B58" i="37"/>
  <c r="B94" i="37" s="1"/>
  <c r="B57" i="37"/>
  <c r="B93" i="37" s="1"/>
  <c r="B56" i="37"/>
  <c r="B92" i="37" s="1"/>
  <c r="B55" i="37"/>
  <c r="B54" i="37"/>
  <c r="B90" i="37" s="1"/>
  <c r="B53" i="37"/>
  <c r="B89" i="37" s="1"/>
  <c r="B52" i="37"/>
  <c r="B51" i="37"/>
  <c r="B50" i="37"/>
  <c r="B49" i="37"/>
  <c r="B85" i="37" s="1"/>
  <c r="B48" i="37"/>
  <c r="B47" i="37"/>
  <c r="B46" i="37"/>
  <c r="B45" i="37"/>
  <c r="B81" i="37" s="1"/>
  <c r="B44" i="37"/>
  <c r="B80" i="37" s="1"/>
  <c r="B43" i="37"/>
  <c r="B42" i="37"/>
  <c r="B41" i="37"/>
  <c r="B77" i="37" s="1"/>
  <c r="B40" i="37"/>
  <c r="B39" i="37"/>
  <c r="B34" i="37"/>
  <c r="D73" i="37" s="1"/>
  <c r="C52" i="36"/>
  <c r="D51" i="36"/>
  <c r="D50" i="36"/>
  <c r="C49" i="36"/>
  <c r="D40" i="36"/>
  <c r="A11" i="36"/>
  <c r="A12" i="36" s="1"/>
  <c r="C51" i="43" l="1"/>
  <c r="C87" i="43" s="1"/>
  <c r="E87" i="43" s="1"/>
  <c r="C61" i="43"/>
  <c r="C97" i="43" s="1"/>
  <c r="E97" i="43" s="1"/>
  <c r="C57" i="43"/>
  <c r="C93" i="43" s="1"/>
  <c r="E93" i="43" s="1"/>
  <c r="C53" i="43"/>
  <c r="C89" i="43" s="1"/>
  <c r="E89" i="43" s="1"/>
  <c r="C41" i="40"/>
  <c r="C77" i="40" s="1"/>
  <c r="E77" i="40" s="1"/>
  <c r="C46" i="40"/>
  <c r="C82" i="40" s="1"/>
  <c r="E82" i="40" s="1"/>
  <c r="C43" i="40"/>
  <c r="C79" i="40" s="1"/>
  <c r="E79" i="40" s="1"/>
  <c r="C40" i="40"/>
  <c r="C76" i="40" s="1"/>
  <c r="E76" i="40" s="1"/>
  <c r="C53" i="40"/>
  <c r="C89" i="40" s="1"/>
  <c r="E89" i="40" s="1"/>
  <c r="C49" i="40"/>
  <c r="C85" i="40" s="1"/>
  <c r="E85" i="40" s="1"/>
  <c r="C59" i="40"/>
  <c r="C95" i="40" s="1"/>
  <c r="E95" i="40" s="1"/>
  <c r="C45" i="40"/>
  <c r="C81" i="40" s="1"/>
  <c r="E81" i="40" s="1"/>
  <c r="C51" i="40"/>
  <c r="C87" i="40" s="1"/>
  <c r="E87" i="40" s="1"/>
  <c r="C52" i="40"/>
  <c r="C88" i="40" s="1"/>
  <c r="E88" i="40" s="1"/>
  <c r="C58" i="40"/>
  <c r="C94" i="40" s="1"/>
  <c r="E94" i="40" s="1"/>
  <c r="C56" i="40"/>
  <c r="C92" i="40" s="1"/>
  <c r="E92" i="40" s="1"/>
  <c r="C60" i="40"/>
  <c r="C96" i="40" s="1"/>
  <c r="E96" i="40" s="1"/>
  <c r="C50" i="40"/>
  <c r="C86" i="40" s="1"/>
  <c r="E86" i="40" s="1"/>
  <c r="C55" i="40"/>
  <c r="C91" i="40" s="1"/>
  <c r="E91" i="40" s="1"/>
  <c r="C61" i="40"/>
  <c r="C97" i="40" s="1"/>
  <c r="E97" i="40" s="1"/>
  <c r="C42" i="40"/>
  <c r="C78" i="40" s="1"/>
  <c r="E78" i="40" s="1"/>
  <c r="C47" i="40"/>
  <c r="C83" i="40" s="1"/>
  <c r="E83" i="40" s="1"/>
  <c r="C57" i="40"/>
  <c r="C93" i="40" s="1"/>
  <c r="E93" i="40" s="1"/>
  <c r="C44" i="40"/>
  <c r="C80" i="40" s="1"/>
  <c r="E80" i="40" s="1"/>
  <c r="C48" i="40"/>
  <c r="C84" i="40" s="1"/>
  <c r="E84" i="40" s="1"/>
  <c r="C39" i="40"/>
  <c r="C75" i="40" s="1"/>
  <c r="E75" i="40" s="1"/>
  <c r="C49" i="43"/>
  <c r="C85" i="43" s="1"/>
  <c r="E85" i="43" s="1"/>
  <c r="C45" i="43"/>
  <c r="C81" i="43" s="1"/>
  <c r="E81" i="43" s="1"/>
  <c r="C43" i="43"/>
  <c r="C79" i="43" s="1"/>
  <c r="E79" i="43" s="1"/>
  <c r="E73" i="43"/>
  <c r="C73" i="43"/>
  <c r="C58" i="43"/>
  <c r="C94" i="43" s="1"/>
  <c r="E94" i="43" s="1"/>
  <c r="C54" i="43"/>
  <c r="C90" i="43" s="1"/>
  <c r="E90" i="43" s="1"/>
  <c r="C50" i="43"/>
  <c r="C86" i="43" s="1"/>
  <c r="E86" i="43" s="1"/>
  <c r="C46" i="43"/>
  <c r="C82" i="43" s="1"/>
  <c r="E82" i="43" s="1"/>
  <c r="C42" i="43"/>
  <c r="C78" i="43" s="1"/>
  <c r="E78" i="43" s="1"/>
  <c r="C38" i="43"/>
  <c r="C74" i="43" s="1"/>
  <c r="E74" i="43" s="1"/>
  <c r="C37" i="43"/>
  <c r="C56" i="43"/>
  <c r="C92" i="43" s="1"/>
  <c r="E92" i="43" s="1"/>
  <c r="C48" i="43"/>
  <c r="C84" i="43" s="1"/>
  <c r="E84" i="43" s="1"/>
  <c r="C60" i="43"/>
  <c r="C96" i="43" s="1"/>
  <c r="E96" i="43" s="1"/>
  <c r="C40" i="43"/>
  <c r="C76" i="43" s="1"/>
  <c r="E76" i="43" s="1"/>
  <c r="C52" i="43"/>
  <c r="C88" i="43" s="1"/>
  <c r="E88" i="43" s="1"/>
  <c r="C44" i="43"/>
  <c r="C80" i="43" s="1"/>
  <c r="E80" i="43" s="1"/>
  <c r="C59" i="43"/>
  <c r="C95" i="43" s="1"/>
  <c r="E95" i="43" s="1"/>
  <c r="C41" i="43"/>
  <c r="C77" i="43" s="1"/>
  <c r="E77" i="43" s="1"/>
  <c r="C39" i="42"/>
  <c r="C38" i="42"/>
  <c r="C55" i="43"/>
  <c r="C91" i="43" s="1"/>
  <c r="E91" i="43" s="1"/>
  <c r="C47" i="43"/>
  <c r="C83" i="43" s="1"/>
  <c r="E83" i="43" s="1"/>
  <c r="C39" i="39"/>
  <c r="E73" i="40"/>
  <c r="C73" i="40"/>
  <c r="C38" i="40"/>
  <c r="C74" i="40" s="1"/>
  <c r="E74" i="40" s="1"/>
  <c r="C37" i="40"/>
  <c r="B35" i="37"/>
  <c r="C48" i="37" s="1"/>
  <c r="C84" i="37" s="1"/>
  <c r="B88" i="37"/>
  <c r="B37" i="37"/>
  <c r="B76" i="37"/>
  <c r="B84" i="37"/>
  <c r="B73" i="37"/>
  <c r="B75" i="37"/>
  <c r="B79" i="37"/>
  <c r="B83" i="37"/>
  <c r="B87" i="37"/>
  <c r="B91" i="37"/>
  <c r="B95" i="37"/>
  <c r="D46" i="36"/>
  <c r="D52" i="36" s="1"/>
  <c r="C25" i="36"/>
  <c r="B74" i="31"/>
  <c r="B61" i="31"/>
  <c r="B97" i="31" s="1"/>
  <c r="B60" i="31"/>
  <c r="B59" i="31"/>
  <c r="B95" i="31" s="1"/>
  <c r="B58" i="31"/>
  <c r="B57" i="31"/>
  <c r="B93" i="31" s="1"/>
  <c r="B56" i="31"/>
  <c r="B55" i="31"/>
  <c r="B91" i="31" s="1"/>
  <c r="B54" i="31"/>
  <c r="B53" i="31"/>
  <c r="B89" i="31" s="1"/>
  <c r="B52" i="31"/>
  <c r="B51" i="31"/>
  <c r="B87" i="31" s="1"/>
  <c r="B50" i="31"/>
  <c r="B49" i="31"/>
  <c r="B85" i="31" s="1"/>
  <c r="B48" i="31"/>
  <c r="B47" i="31"/>
  <c r="B83" i="31" s="1"/>
  <c r="B46" i="31"/>
  <c r="B45" i="31"/>
  <c r="B81" i="31" s="1"/>
  <c r="B44" i="31"/>
  <c r="B43" i="31"/>
  <c r="B79" i="31" s="1"/>
  <c r="B42" i="31"/>
  <c r="B41" i="31"/>
  <c r="B77" i="31" s="1"/>
  <c r="B40" i="31"/>
  <c r="B39" i="31"/>
  <c r="B75" i="31" s="1"/>
  <c r="B34" i="31"/>
  <c r="D73" i="31" s="1"/>
  <c r="B14" i="10"/>
  <c r="B12" i="10"/>
  <c r="B37" i="31" l="1"/>
  <c r="B73" i="31"/>
  <c r="C57" i="37"/>
  <c r="C93" i="37" s="1"/>
  <c r="E93" i="37" s="1"/>
  <c r="C40" i="37"/>
  <c r="C76" i="37" s="1"/>
  <c r="E76" i="37" s="1"/>
  <c r="C54" i="37"/>
  <c r="C90" i="37" s="1"/>
  <c r="E90" i="37" s="1"/>
  <c r="C53" i="37"/>
  <c r="C89" i="37" s="1"/>
  <c r="E89" i="37" s="1"/>
  <c r="C39" i="37"/>
  <c r="C75" i="37" s="1"/>
  <c r="E75" i="37" s="1"/>
  <c r="C49" i="37"/>
  <c r="C85" i="37" s="1"/>
  <c r="E85" i="37" s="1"/>
  <c r="C47" i="37"/>
  <c r="C83" i="37" s="1"/>
  <c r="E83" i="37" s="1"/>
  <c r="C45" i="37"/>
  <c r="C81" i="37" s="1"/>
  <c r="E81" i="37" s="1"/>
  <c r="C59" i="37"/>
  <c r="C95" i="37" s="1"/>
  <c r="E95" i="37" s="1"/>
  <c r="C52" i="37"/>
  <c r="C88" i="37" s="1"/>
  <c r="E88" i="37" s="1"/>
  <c r="E84" i="37"/>
  <c r="C60" i="37"/>
  <c r="C96" i="37" s="1"/>
  <c r="E96" i="37" s="1"/>
  <c r="C58" i="37"/>
  <c r="C94" i="37" s="1"/>
  <c r="E94" i="37" s="1"/>
  <c r="C50" i="37"/>
  <c r="C86" i="37" s="1"/>
  <c r="E86" i="37" s="1"/>
  <c r="C55" i="37"/>
  <c r="C91" i="37" s="1"/>
  <c r="E91" i="37" s="1"/>
  <c r="C44" i="37"/>
  <c r="C80" i="37" s="1"/>
  <c r="E80" i="37" s="1"/>
  <c r="C41" i="37"/>
  <c r="C77" i="37" s="1"/>
  <c r="E77" i="37" s="1"/>
  <c r="C51" i="37"/>
  <c r="C87" i="37" s="1"/>
  <c r="E87" i="37" s="1"/>
  <c r="C46" i="37"/>
  <c r="C82" i="37" s="1"/>
  <c r="E82" i="37" s="1"/>
  <c r="C43" i="37"/>
  <c r="C79" i="37" s="1"/>
  <c r="E79" i="37" s="1"/>
  <c r="C61" i="37"/>
  <c r="C97" i="37" s="1"/>
  <c r="E97" i="37" s="1"/>
  <c r="C56" i="37"/>
  <c r="C92" i="37" s="1"/>
  <c r="E92" i="37" s="1"/>
  <c r="C42" i="37"/>
  <c r="C78" i="37" s="1"/>
  <c r="E78" i="37" s="1"/>
  <c r="E73" i="37"/>
  <c r="C73" i="37"/>
  <c r="C38" i="37"/>
  <c r="C74" i="37" s="1"/>
  <c r="E74" i="37" s="1"/>
  <c r="C37" i="37"/>
  <c r="C36" i="36"/>
  <c r="C32" i="36"/>
  <c r="C28" i="36"/>
  <c r="C24" i="36"/>
  <c r="C34" i="36"/>
  <c r="C26" i="36"/>
  <c r="C45" i="36"/>
  <c r="C46" i="36" s="1"/>
  <c r="C33" i="36"/>
  <c r="C35" i="36"/>
  <c r="C31" i="36"/>
  <c r="C27" i="36"/>
  <c r="C23" i="36"/>
  <c r="C30" i="36"/>
  <c r="C37" i="36"/>
  <c r="C29" i="36"/>
  <c r="B76" i="31"/>
  <c r="B80" i="31"/>
  <c r="B86" i="31"/>
  <c r="B92" i="31"/>
  <c r="B96" i="31"/>
  <c r="B78" i="31"/>
  <c r="B82" i="31"/>
  <c r="B84" i="31"/>
  <c r="B88" i="31"/>
  <c r="B90" i="31"/>
  <c r="B94" i="31"/>
  <c r="C39" i="36" l="1"/>
  <c r="C38" i="36"/>
  <c r="B74" i="29" l="1"/>
  <c r="B61" i="29"/>
  <c r="B97" i="29" s="1"/>
  <c r="B60" i="29"/>
  <c r="B96" i="29" s="1"/>
  <c r="B59" i="29"/>
  <c r="B95" i="29" s="1"/>
  <c r="B58" i="29"/>
  <c r="B57" i="29"/>
  <c r="B93" i="29" s="1"/>
  <c r="B56" i="29"/>
  <c r="B92" i="29" s="1"/>
  <c r="B55" i="29"/>
  <c r="B91" i="29" s="1"/>
  <c r="B54" i="29"/>
  <c r="B53" i="29"/>
  <c r="B89" i="29" s="1"/>
  <c r="B52" i="29"/>
  <c r="B88" i="29" s="1"/>
  <c r="B51" i="29"/>
  <c r="B87" i="29" s="1"/>
  <c r="B50" i="29"/>
  <c r="B49" i="29"/>
  <c r="B85" i="29" s="1"/>
  <c r="B48" i="29"/>
  <c r="B84" i="29" s="1"/>
  <c r="B47" i="29"/>
  <c r="B83" i="29" s="1"/>
  <c r="B46" i="29"/>
  <c r="B45" i="29"/>
  <c r="B81" i="29" s="1"/>
  <c r="B44" i="29"/>
  <c r="B80" i="29" s="1"/>
  <c r="B43" i="29"/>
  <c r="B79" i="29" s="1"/>
  <c r="B42" i="29"/>
  <c r="B41" i="29"/>
  <c r="B77" i="29" s="1"/>
  <c r="B40" i="29"/>
  <c r="B76" i="29" s="1"/>
  <c r="B39" i="29"/>
  <c r="B75" i="29" s="1"/>
  <c r="B34" i="29"/>
  <c r="D73" i="29" s="1"/>
  <c r="C10" i="28"/>
  <c r="C52" i="28"/>
  <c r="D51" i="28"/>
  <c r="D50" i="28"/>
  <c r="C49" i="28"/>
  <c r="D40" i="28"/>
  <c r="D46" i="28" s="1"/>
  <c r="D52" i="28" s="1"/>
  <c r="A12" i="28"/>
  <c r="A11" i="28"/>
  <c r="B12" i="46" l="1"/>
  <c r="B17" i="29"/>
  <c r="B21" i="29" s="1"/>
  <c r="B35" i="29" s="1"/>
  <c r="C41" i="29" s="1"/>
  <c r="C77" i="29" s="1"/>
  <c r="E77" i="29" s="1"/>
  <c r="B17" i="31"/>
  <c r="B21" i="31" s="1"/>
  <c r="B35" i="31" s="1"/>
  <c r="D12" i="46"/>
  <c r="B78" i="29"/>
  <c r="B82" i="29"/>
  <c r="B86" i="29"/>
  <c r="B90" i="29"/>
  <c r="B94" i="29"/>
  <c r="B73" i="29"/>
  <c r="B37" i="29"/>
  <c r="C25" i="28"/>
  <c r="C27" i="28" s="1"/>
  <c r="C33" i="28"/>
  <c r="C24" i="28"/>
  <c r="C35" i="28"/>
  <c r="C23" i="28"/>
  <c r="A11" i="7"/>
  <c r="A12" i="7" s="1"/>
  <c r="C46" i="31" l="1"/>
  <c r="C82" i="31" s="1"/>
  <c r="E82" i="31" s="1"/>
  <c r="C38" i="31"/>
  <c r="C74" i="31" s="1"/>
  <c r="E74" i="31" s="1"/>
  <c r="E73" i="31"/>
  <c r="C37" i="31"/>
  <c r="C60" i="31"/>
  <c r="C96" i="31" s="1"/>
  <c r="E96" i="31" s="1"/>
  <c r="C49" i="31"/>
  <c r="C85" i="31" s="1"/>
  <c r="E85" i="31" s="1"/>
  <c r="C54" i="31"/>
  <c r="C90" i="31" s="1"/>
  <c r="E90" i="31" s="1"/>
  <c r="C52" i="31"/>
  <c r="C88" i="31" s="1"/>
  <c r="E88" i="31" s="1"/>
  <c r="C48" i="31"/>
  <c r="C84" i="31" s="1"/>
  <c r="E84" i="31" s="1"/>
  <c r="C61" i="31"/>
  <c r="C97" i="31" s="1"/>
  <c r="E97" i="31" s="1"/>
  <c r="C56" i="31"/>
  <c r="C92" i="31" s="1"/>
  <c r="E92" i="31" s="1"/>
  <c r="C51" i="31"/>
  <c r="C87" i="31" s="1"/>
  <c r="E87" i="31" s="1"/>
  <c r="C53" i="31"/>
  <c r="C89" i="31" s="1"/>
  <c r="E89" i="31" s="1"/>
  <c r="C39" i="31"/>
  <c r="C75" i="31" s="1"/>
  <c r="E75" i="31" s="1"/>
  <c r="C47" i="31"/>
  <c r="C83" i="31" s="1"/>
  <c r="E83" i="31" s="1"/>
  <c r="C45" i="31"/>
  <c r="C81" i="31" s="1"/>
  <c r="E81" i="31" s="1"/>
  <c r="C40" i="31"/>
  <c r="C76" i="31" s="1"/>
  <c r="E76" i="31" s="1"/>
  <c r="C41" i="31"/>
  <c r="C77" i="31" s="1"/>
  <c r="E77" i="31" s="1"/>
  <c r="C43" i="31"/>
  <c r="C79" i="31" s="1"/>
  <c r="E79" i="31" s="1"/>
  <c r="C44" i="31"/>
  <c r="C80" i="31" s="1"/>
  <c r="E80" i="31" s="1"/>
  <c r="C57" i="31"/>
  <c r="C93" i="31" s="1"/>
  <c r="E93" i="31" s="1"/>
  <c r="C42" i="31"/>
  <c r="C78" i="31" s="1"/>
  <c r="E78" i="31" s="1"/>
  <c r="C59" i="31"/>
  <c r="C95" i="31" s="1"/>
  <c r="E95" i="31" s="1"/>
  <c r="C55" i="31"/>
  <c r="C91" i="31" s="1"/>
  <c r="E91" i="31" s="1"/>
  <c r="C50" i="31"/>
  <c r="C86" i="31" s="1"/>
  <c r="E86" i="31" s="1"/>
  <c r="C58" i="31"/>
  <c r="C94" i="31" s="1"/>
  <c r="E94" i="31" s="1"/>
  <c r="C73" i="31"/>
  <c r="C29" i="28"/>
  <c r="C57" i="29"/>
  <c r="C93" i="29" s="1"/>
  <c r="E93" i="29" s="1"/>
  <c r="E73" i="29"/>
  <c r="C56" i="29"/>
  <c r="C92" i="29" s="1"/>
  <c r="E92" i="29" s="1"/>
  <c r="C37" i="29"/>
  <c r="C40" i="29"/>
  <c r="C76" i="29" s="1"/>
  <c r="E76" i="29" s="1"/>
  <c r="C55" i="29"/>
  <c r="C91" i="29" s="1"/>
  <c r="E91" i="29" s="1"/>
  <c r="C49" i="29"/>
  <c r="C85" i="29" s="1"/>
  <c r="E85" i="29" s="1"/>
  <c r="C52" i="29"/>
  <c r="C88" i="29" s="1"/>
  <c r="E88" i="29" s="1"/>
  <c r="C59" i="29"/>
  <c r="C95" i="29" s="1"/>
  <c r="E95" i="29" s="1"/>
  <c r="C60" i="29"/>
  <c r="C96" i="29" s="1"/>
  <c r="E96" i="29" s="1"/>
  <c r="C47" i="29"/>
  <c r="C83" i="29" s="1"/>
  <c r="E83" i="29" s="1"/>
  <c r="C54" i="29"/>
  <c r="C90" i="29" s="1"/>
  <c r="E90" i="29" s="1"/>
  <c r="C39" i="29"/>
  <c r="C75" i="29" s="1"/>
  <c r="E75" i="29" s="1"/>
  <c r="C53" i="29"/>
  <c r="C89" i="29" s="1"/>
  <c r="E89" i="29" s="1"/>
  <c r="C50" i="29"/>
  <c r="C86" i="29" s="1"/>
  <c r="E86" i="29" s="1"/>
  <c r="C46" i="29"/>
  <c r="C82" i="29" s="1"/>
  <c r="E82" i="29" s="1"/>
  <c r="C48" i="29"/>
  <c r="C84" i="29" s="1"/>
  <c r="E84" i="29" s="1"/>
  <c r="C38" i="29"/>
  <c r="C74" i="29" s="1"/>
  <c r="E74" i="29" s="1"/>
  <c r="C58" i="29"/>
  <c r="C94" i="29" s="1"/>
  <c r="E94" i="29" s="1"/>
  <c r="C43" i="29"/>
  <c r="C79" i="29" s="1"/>
  <c r="E79" i="29" s="1"/>
  <c r="C51" i="29"/>
  <c r="C87" i="29" s="1"/>
  <c r="E87" i="29" s="1"/>
  <c r="C45" i="29"/>
  <c r="C81" i="29" s="1"/>
  <c r="E81" i="29" s="1"/>
  <c r="C73" i="29"/>
  <c r="C42" i="29"/>
  <c r="C78" i="29" s="1"/>
  <c r="E78" i="29" s="1"/>
  <c r="C44" i="29"/>
  <c r="C80" i="29" s="1"/>
  <c r="E80" i="29" s="1"/>
  <c r="C61" i="29"/>
  <c r="C97" i="29" s="1"/>
  <c r="E97" i="29" s="1"/>
  <c r="C45" i="28"/>
  <c r="C46" i="28" s="1"/>
  <c r="C32" i="28"/>
  <c r="C28" i="28"/>
  <c r="C26" i="28"/>
  <c r="C36" i="28"/>
  <c r="C37" i="28"/>
  <c r="C30" i="28"/>
  <c r="C31" i="28"/>
  <c r="C34" i="28"/>
  <c r="C39" i="28"/>
  <c r="C38" i="28"/>
  <c r="C11" i="7"/>
  <c r="B55" i="10"/>
  <c r="B54" i="10"/>
  <c r="B53" i="10"/>
  <c r="B89" i="10" s="1"/>
  <c r="B52" i="10"/>
  <c r="B51" i="10"/>
  <c r="B50" i="10"/>
  <c r="B49" i="10"/>
  <c r="B85" i="10" s="1"/>
  <c r="B48" i="10"/>
  <c r="B47" i="10"/>
  <c r="B46" i="10"/>
  <c r="B45" i="10"/>
  <c r="B81" i="10" s="1"/>
  <c r="B44" i="10"/>
  <c r="B43" i="10"/>
  <c r="B42" i="10"/>
  <c r="B41" i="10"/>
  <c r="B77" i="10" s="1"/>
  <c r="B40" i="10"/>
  <c r="B39" i="10"/>
  <c r="B38" i="10"/>
  <c r="B37" i="10"/>
  <c r="B36" i="10"/>
  <c r="B35" i="10"/>
  <c r="B34" i="10"/>
  <c r="B33" i="10"/>
  <c r="B69" i="10" s="1"/>
  <c r="B28" i="10"/>
  <c r="B13" i="10"/>
  <c r="B15" i="10" s="1"/>
  <c r="D53" i="7"/>
  <c r="C51" i="7"/>
  <c r="C54" i="7"/>
  <c r="D52" i="7"/>
  <c r="B68" i="10"/>
  <c r="B73" i="10"/>
  <c r="C11" i="39" l="1"/>
  <c r="C11" i="28"/>
  <c r="C11" i="42"/>
  <c r="C11" i="36"/>
  <c r="C11" i="46"/>
  <c r="B29" i="10"/>
  <c r="C31" i="10" s="1"/>
  <c r="B22" i="43"/>
  <c r="B22" i="40"/>
  <c r="B22" i="31"/>
  <c r="B16" i="10"/>
  <c r="B22" i="37"/>
  <c r="B22" i="29"/>
  <c r="D67" i="10"/>
  <c r="B31" i="10"/>
  <c r="B67" i="10"/>
  <c r="C47" i="10"/>
  <c r="C83" i="10" s="1"/>
  <c r="C55" i="10"/>
  <c r="C91" i="10" s="1"/>
  <c r="C42" i="10"/>
  <c r="C78" i="10" s="1"/>
  <c r="C35" i="10"/>
  <c r="C71" i="10" s="1"/>
  <c r="C34" i="10"/>
  <c r="C70" i="10" s="1"/>
  <c r="C50" i="10"/>
  <c r="C86" i="10" s="1"/>
  <c r="C36" i="10"/>
  <c r="C72" i="10" s="1"/>
  <c r="C44" i="10"/>
  <c r="C80" i="10" s="1"/>
  <c r="C54" i="10"/>
  <c r="C90" i="10" s="1"/>
  <c r="B82" i="10"/>
  <c r="B74" i="10"/>
  <c r="B70" i="10"/>
  <c r="B90" i="10"/>
  <c r="B78" i="10"/>
  <c r="B86" i="10"/>
  <c r="B72" i="10"/>
  <c r="B76" i="10"/>
  <c r="B80" i="10"/>
  <c r="B84" i="10"/>
  <c r="B88" i="10"/>
  <c r="C49" i="10"/>
  <c r="C85" i="10" s="1"/>
  <c r="E85" i="10" s="1"/>
  <c r="C53" i="10"/>
  <c r="C89" i="10" s="1"/>
  <c r="E89" i="10" s="1"/>
  <c r="B71" i="10"/>
  <c r="B75" i="10"/>
  <c r="B79" i="10"/>
  <c r="B83" i="10"/>
  <c r="B87" i="10"/>
  <c r="B91" i="10"/>
  <c r="C48" i="10" l="1"/>
  <c r="C84" i="10" s="1"/>
  <c r="C41" i="10"/>
  <c r="C77" i="10" s="1"/>
  <c r="E77" i="10" s="1"/>
  <c r="C38" i="10"/>
  <c r="C74" i="10" s="1"/>
  <c r="C40" i="10"/>
  <c r="C76" i="10" s="1"/>
  <c r="C39" i="10"/>
  <c r="C75" i="10" s="1"/>
  <c r="N15" i="46"/>
  <c r="N14" i="46"/>
  <c r="N13" i="46"/>
  <c r="N12" i="46"/>
  <c r="N11" i="46"/>
  <c r="C45" i="10"/>
  <c r="C81" i="10" s="1"/>
  <c r="E81" i="10" s="1"/>
  <c r="C46" i="10"/>
  <c r="C82" i="10" s="1"/>
  <c r="E82" i="10" s="1"/>
  <c r="C67" i="10"/>
  <c r="C37" i="10"/>
  <c r="C73" i="10" s="1"/>
  <c r="E73" i="10" s="1"/>
  <c r="C32" i="10"/>
  <c r="C68" i="10" s="1"/>
  <c r="E68" i="10" s="1"/>
  <c r="C51" i="10"/>
  <c r="C87" i="10" s="1"/>
  <c r="E87" i="10" s="1"/>
  <c r="E67" i="10"/>
  <c r="C13" i="46"/>
  <c r="D25" i="36"/>
  <c r="C15" i="36"/>
  <c r="F13" i="46" s="1"/>
  <c r="G13" i="46" s="1"/>
  <c r="H13" i="46" s="1"/>
  <c r="I13" i="46" s="1"/>
  <c r="C33" i="10"/>
  <c r="C69" i="10" s="1"/>
  <c r="E69" i="10" s="1"/>
  <c r="C52" i="10"/>
  <c r="C88" i="10" s="1"/>
  <c r="C43" i="10"/>
  <c r="C79" i="10" s="1"/>
  <c r="C15" i="46"/>
  <c r="C15" i="42"/>
  <c r="F15" i="46" s="1"/>
  <c r="G15" i="46" s="1"/>
  <c r="H15" i="46" s="1"/>
  <c r="I15" i="46" s="1"/>
  <c r="D25" i="42"/>
  <c r="C12" i="46"/>
  <c r="D25" i="28"/>
  <c r="C15" i="28"/>
  <c r="F12" i="46" s="1"/>
  <c r="C14" i="46"/>
  <c r="C15" i="39"/>
  <c r="F14" i="46" s="1"/>
  <c r="G14" i="46" s="1"/>
  <c r="H14" i="46" s="1"/>
  <c r="I14" i="46" s="1"/>
  <c r="D25" i="39"/>
  <c r="E75" i="10"/>
  <c r="E91" i="10"/>
  <c r="E83" i="10"/>
  <c r="E71" i="10"/>
  <c r="E74" i="10"/>
  <c r="E80" i="10"/>
  <c r="E72" i="10"/>
  <c r="E78" i="10"/>
  <c r="E84" i="10"/>
  <c r="E90" i="10"/>
  <c r="E70" i="10"/>
  <c r="E76" i="10"/>
  <c r="E79" i="10"/>
  <c r="E88" i="10"/>
  <c r="E86" i="10"/>
  <c r="D30" i="39" l="1"/>
  <c r="D38" i="39"/>
  <c r="D32" i="39"/>
  <c r="D23" i="39"/>
  <c r="D37" i="39"/>
  <c r="D33" i="39"/>
  <c r="D26" i="39"/>
  <c r="D29" i="39"/>
  <c r="D28" i="39"/>
  <c r="D34" i="39"/>
  <c r="D24" i="39"/>
  <c r="D35" i="39"/>
  <c r="D36" i="39"/>
  <c r="D31" i="39"/>
  <c r="D43" i="39"/>
  <c r="D44" i="39" s="1"/>
  <c r="D27" i="39"/>
  <c r="D39" i="39"/>
  <c r="G12" i="46"/>
  <c r="H12" i="46" s="1"/>
  <c r="I12" i="46"/>
  <c r="D43" i="28"/>
  <c r="D44" i="28" s="1"/>
  <c r="D27" i="28"/>
  <c r="D33" i="28"/>
  <c r="D35" i="28"/>
  <c r="D24" i="28"/>
  <c r="D23" i="28"/>
  <c r="D29" i="28"/>
  <c r="D30" i="28"/>
  <c r="D38" i="28"/>
  <c r="D28" i="28"/>
  <c r="D39" i="28"/>
  <c r="D32" i="28"/>
  <c r="D31" i="28"/>
  <c r="D26" i="28"/>
  <c r="D34" i="28"/>
  <c r="D37" i="28"/>
  <c r="D36" i="28"/>
  <c r="D43" i="36"/>
  <c r="D44" i="36" s="1"/>
  <c r="D36" i="36"/>
  <c r="D28" i="36"/>
  <c r="D37" i="36"/>
  <c r="D31" i="36"/>
  <c r="D23" i="36"/>
  <c r="D35" i="36"/>
  <c r="D26" i="36"/>
  <c r="D32" i="36"/>
  <c r="D27" i="36"/>
  <c r="D34" i="36"/>
  <c r="D24" i="36"/>
  <c r="D30" i="36"/>
  <c r="D33" i="36"/>
  <c r="D29" i="36"/>
  <c r="D39" i="36"/>
  <c r="D38" i="36"/>
  <c r="D24" i="42"/>
  <c r="D30" i="42"/>
  <c r="D33" i="42"/>
  <c r="D34" i="42"/>
  <c r="D37" i="42"/>
  <c r="D29" i="42"/>
  <c r="D31" i="42"/>
  <c r="D26" i="42"/>
  <c r="D43" i="42"/>
  <c r="D44" i="42" s="1"/>
  <c r="D36" i="42"/>
  <c r="D35" i="42"/>
  <c r="D28" i="42"/>
  <c r="D32" i="42"/>
  <c r="D23" i="42"/>
  <c r="D38" i="42"/>
  <c r="D39" i="42"/>
  <c r="D27" i="42"/>
  <c r="C15" i="7"/>
  <c r="F11" i="46" s="1"/>
  <c r="H11" i="46" l="1"/>
  <c r="G11" i="46"/>
  <c r="I11" i="46" s="1"/>
  <c r="D42" i="7"/>
  <c r="C27" i="7"/>
  <c r="C28" i="7" s="1"/>
  <c r="D27" i="7"/>
  <c r="D45" i="7" s="1"/>
  <c r="L15" i="46" l="1"/>
  <c r="K14" i="46"/>
  <c r="M14" i="46"/>
  <c r="J11" i="46"/>
  <c r="M12" i="46"/>
  <c r="K13" i="46"/>
  <c r="L12" i="46"/>
  <c r="K12" i="46"/>
  <c r="L14" i="46"/>
  <c r="K11" i="46"/>
  <c r="M13" i="46"/>
  <c r="J13" i="46"/>
  <c r="J15" i="46"/>
  <c r="L13" i="46"/>
  <c r="K15" i="46"/>
  <c r="J14" i="46"/>
  <c r="M15" i="46"/>
  <c r="J12" i="46"/>
  <c r="C39" i="7"/>
  <c r="C37" i="7"/>
  <c r="C31" i="7"/>
  <c r="C38" i="7"/>
  <c r="D38" i="7" s="1"/>
  <c r="D39" i="7"/>
  <c r="D31" i="7"/>
  <c r="D30" i="7"/>
  <c r="D37" i="7"/>
  <c r="D36" i="7"/>
  <c r="D28" i="7"/>
  <c r="D34" i="7"/>
  <c r="D35" i="7"/>
  <c r="C32" i="7"/>
  <c r="D32" i="7" s="1"/>
  <c r="C33" i="7"/>
  <c r="D33" i="7" s="1"/>
  <c r="C34" i="7"/>
  <c r="C35" i="7"/>
  <c r="C36" i="7"/>
  <c r="D46" i="7"/>
  <c r="C47" i="7"/>
  <c r="C48" i="7" s="1"/>
  <c r="C26" i="7"/>
  <c r="D26" i="7" s="1"/>
  <c r="C29" i="7"/>
  <c r="C25" i="7"/>
  <c r="D25" i="7" s="1"/>
  <c r="C30" i="7"/>
  <c r="C41" i="7" l="1"/>
  <c r="D41" i="7" s="1"/>
  <c r="C40" i="7"/>
  <c r="D40" i="7" s="1"/>
  <c r="D29" i="7"/>
  <c r="M11" i="46"/>
  <c r="L11" i="46"/>
  <c r="D48" i="7"/>
  <c r="D54" i="7" s="1"/>
</calcChain>
</file>

<file path=xl/sharedStrings.xml><?xml version="1.0" encoding="utf-8"?>
<sst xmlns="http://schemas.openxmlformats.org/spreadsheetml/2006/main" count="682" uniqueCount="204">
  <si>
    <t>Facility Dynamics Headquarters  - 6760 Alexander Bell Drive,  Suite 200,  Columbia, MD 21046, Phone: (410) 290-0900;  www.facilitydynamics.com</t>
  </si>
  <si>
    <t>Facility Dynamics Satellite Location  - 8560 North Buchanan Avenue,  Portland, Oregon 97203, Phone: ;  www.facilitydynamics.com</t>
  </si>
  <si>
    <t>Engineering Calculation</t>
  </si>
  <si>
    <t>Date:</t>
  </si>
  <si>
    <t xml:space="preserve">Project Name: </t>
  </si>
  <si>
    <t>Duct Friction Spreadsheet</t>
  </si>
  <si>
    <t xml:space="preserve">Project Number: </t>
  </si>
  <si>
    <t>None</t>
  </si>
  <si>
    <t xml:space="preserve">Engineer: </t>
  </si>
  <si>
    <t>David</t>
  </si>
  <si>
    <t>Assumptions</t>
  </si>
  <si>
    <t>????</t>
  </si>
  <si>
    <t>10 Inch</t>
  </si>
  <si>
    <t>10.5 Inch</t>
  </si>
  <si>
    <t>11 Inch</t>
  </si>
  <si>
    <t>11.5 Inch</t>
  </si>
  <si>
    <t>12 Inch</t>
  </si>
  <si>
    <t>12.5 Inch</t>
  </si>
  <si>
    <t>13 Inch</t>
  </si>
  <si>
    <t>13.5 Inch</t>
  </si>
  <si>
    <t>File 10 Inch.csv</t>
  </si>
  <si>
    <t>File 10.5 Inch.csv</t>
  </si>
  <si>
    <t>File 11 Inch.csv</t>
  </si>
  <si>
    <t>File 11.5 Inch.csv</t>
  </si>
  <si>
    <t>File 12 Inch.csv</t>
  </si>
  <si>
    <t>File 12.5 Inch.csv</t>
  </si>
  <si>
    <t>File 13 Inch.csv</t>
  </si>
  <si>
    <t>File 13.5 Inch.csv</t>
  </si>
  <si>
    <t>Capacity (GPM)</t>
  </si>
  <si>
    <t>Total Head (FT)</t>
  </si>
  <si>
    <t>File 60%.csv</t>
  </si>
  <si>
    <t>File 70%.csv</t>
  </si>
  <si>
    <t>File 75%.csv</t>
  </si>
  <si>
    <t>File 80%.csv</t>
  </si>
  <si>
    <t>File 83%.csv</t>
  </si>
  <si>
    <t>File 86%.csv</t>
  </si>
  <si>
    <t>File 87%.csv</t>
  </si>
  <si>
    <t>10HP</t>
  </si>
  <si>
    <t>15HP</t>
  </si>
  <si>
    <t>20HP</t>
  </si>
  <si>
    <t>25HP</t>
  </si>
  <si>
    <t>30HP</t>
  </si>
  <si>
    <t>40HP</t>
  </si>
  <si>
    <t>File 10HP.csv</t>
  </si>
  <si>
    <t>File 15HP.csv</t>
  </si>
  <si>
    <t>File 20HP.csv</t>
  </si>
  <si>
    <t>File 25HP.csv</t>
  </si>
  <si>
    <t>File 30HP.csv</t>
  </si>
  <si>
    <t>File 40HP.csv</t>
  </si>
  <si>
    <t>Flow</t>
  </si>
  <si>
    <t>No Flow</t>
  </si>
  <si>
    <t>10% of known flow</t>
  </si>
  <si>
    <t>20% of known flow</t>
  </si>
  <si>
    <t>40% of known flow</t>
  </si>
  <si>
    <t>60% of known flow</t>
  </si>
  <si>
    <t>80% of known flow</t>
  </si>
  <si>
    <t>Known</t>
  </si>
  <si>
    <t>120% of known flow</t>
  </si>
  <si>
    <t>140% of known flow</t>
  </si>
  <si>
    <t>Condition</t>
  </si>
  <si>
    <t>System Curve Points</t>
  </si>
  <si>
    <t xml:space="preserve">Fixed static or open system lift = </t>
  </si>
  <si>
    <t xml:space="preserve">Head or static at known flow = </t>
  </si>
  <si>
    <t xml:space="preserve">Known flow = </t>
  </si>
  <si>
    <t>Chiller Plant Model</t>
  </si>
  <si>
    <t>Head Line</t>
  </si>
  <si>
    <t>Flow Line</t>
  </si>
  <si>
    <t>30% of known flow</t>
  </si>
  <si>
    <t>18% of known flow</t>
  </si>
  <si>
    <t>16% of known flow</t>
  </si>
  <si>
    <t>14% of known flow</t>
  </si>
  <si>
    <t>12% of known flow</t>
  </si>
  <si>
    <t>8% of known flow</t>
  </si>
  <si>
    <t>6% of known flow</t>
  </si>
  <si>
    <t>4% of known flow</t>
  </si>
  <si>
    <t>2% of known flow</t>
  </si>
  <si>
    <t xml:space="preserve">Bhp = </t>
  </si>
  <si>
    <t>Bhp (calculated)</t>
  </si>
  <si>
    <t xml:space="preserve">Efficiency = </t>
  </si>
  <si>
    <t>Basis for Estimating the Design Impeller Line Flow</t>
  </si>
  <si>
    <t xml:space="preserve">Known impeller size - </t>
  </si>
  <si>
    <t>inches</t>
  </si>
  <si>
    <t xml:space="preserve">Desired impeller size - </t>
  </si>
  <si>
    <t>Make the "0" a really small number to get rid of the "#DIV/0!" error that will otherwise come up in the next step</t>
  </si>
  <si>
    <t>Basis for Estimating the Design Impeller Line Head</t>
  </si>
  <si>
    <t>Step 1 - Estimate the new impeller size</t>
  </si>
  <si>
    <t>Basis for Estimating the new impeller size</t>
  </si>
  <si>
    <t xml:space="preserve">Desired Flow - </t>
  </si>
  <si>
    <t xml:space="preserve">Known flow - </t>
  </si>
  <si>
    <t>gpm (from where the design system curve crosses the known impeller size curve)</t>
  </si>
  <si>
    <t>Design Conditions</t>
  </si>
  <si>
    <t>System Curve and Largest Impeller</t>
  </si>
  <si>
    <t xml:space="preserve">Largest impeller = </t>
  </si>
  <si>
    <t xml:space="preserve">Smallest impeller = </t>
  </si>
  <si>
    <t>Step 2 - For each point on the known impeller line, calculate the flow for the different impeller size</t>
  </si>
  <si>
    <t>Step 3 - For each of the new flow rates, calculate the head associated with it using the affinity laws</t>
  </si>
  <si>
    <t>Step 4 - Plot the results (the cells highlighted in yellow above) on the pump curve</t>
  </si>
  <si>
    <t>(From the curve)</t>
  </si>
  <si>
    <t>ft.w.c. (from square law and design requirements)</t>
  </si>
  <si>
    <t>New Point</t>
  </si>
  <si>
    <t>160% of known flow</t>
  </si>
  <si>
    <t>System Curve and New Point</t>
  </si>
  <si>
    <t>Step 1 - Estimate the new impeller speed</t>
  </si>
  <si>
    <t xml:space="preserve">Known impeller speed - </t>
  </si>
  <si>
    <t xml:space="preserve">Desired impeller speed - </t>
  </si>
  <si>
    <t>Step 2 - For each point on the known impeller speed line, calculate the flow for the different impeller speed</t>
  </si>
  <si>
    <t>inches (calculated above)</t>
  </si>
  <si>
    <t>rpm (from manufacturer's pump curve)</t>
  </si>
  <si>
    <t>rpm (calculated above)</t>
  </si>
  <si>
    <t>rpm (tweaked from affinity law estimate to intersect the known operating point)</t>
  </si>
  <si>
    <t xml:space="preserve">"Tweak" value - </t>
  </si>
  <si>
    <t>Note 1</t>
  </si>
  <si>
    <t xml:space="preserve">System Curve Exponent = </t>
  </si>
  <si>
    <t>Note 2</t>
  </si>
  <si>
    <r>
      <t xml:space="preserve">Note 1 - For </t>
    </r>
    <r>
      <rPr>
        <i/>
        <u/>
        <sz val="12"/>
        <color indexed="8"/>
        <rFont val="Comic Sans MS"/>
        <family val="4"/>
      </rPr>
      <t>closed</t>
    </r>
    <r>
      <rPr>
        <sz val="12"/>
        <color indexed="8"/>
        <rFont val="Comic Sans MS"/>
        <family val="4"/>
      </rPr>
      <t xml:space="preserve"> systems that control for a fixed pressure, enter it here in ft.w.c., otherwise use 0.</t>
    </r>
  </si>
  <si>
    <t>Note 2 -  The typical value for this is 2, but ASHRAE research indicates that generally, 1.85 - 1.89 may be more appropriate for systems were there are some portions with out fully developed turbulent flow.</t>
  </si>
  <si>
    <t>Pressure</t>
  </si>
  <si>
    <t>Set the flow values in the yellow cells to match the range of the X axis</t>
  </si>
  <si>
    <t>Set the head values in the orange cells to match the range of the Y axis</t>
  </si>
  <si>
    <t>Read the flow value manually from the pump curve where the new system curve intersects the design impeller line and enter it manually in the yellow cell</t>
  </si>
  <si>
    <t>Read the head value manually from the pump curve where the new system curve intersects the design impeller line and enter it in the orange cell</t>
  </si>
  <si>
    <t>rpm (Manually adjusted to make the speed line intersect the new operating point)</t>
  </si>
  <si>
    <t>rpm (Manually entered from manufacturer's pump curve)</t>
  </si>
  <si>
    <t>gpm (design parameter)</t>
  </si>
  <si>
    <t>ft.w.c. (design parameter)</t>
  </si>
  <si>
    <t>gpm (manual selection for the desired condition to analyze)</t>
  </si>
  <si>
    <t>gpm (given, from system curve tab)</t>
  </si>
  <si>
    <t>gpm (design parameter from the design system curve tab inputs)</t>
  </si>
  <si>
    <t>Set the head value in the orange cell to the head value where the design system curve crosses the known impeller size line</t>
  </si>
  <si>
    <t>Set the flow value in the yellow cell to the flow value where the design system curve crosses the known impeller size line</t>
  </si>
  <si>
    <t>inches (calculated from the other metrics)</t>
  </si>
  <si>
    <t>inches (from the design system curve tab inputs)</t>
  </si>
  <si>
    <t xml:space="preserve">Closest known impeller size = </t>
  </si>
  <si>
    <t>inches (enter the known impeller size closes to the design operating point)</t>
  </si>
  <si>
    <t xml:space="preserve">Published curve speed = </t>
  </si>
  <si>
    <t>rpm (from the published curve)</t>
  </si>
  <si>
    <t xml:space="preserve">Lable generator - </t>
  </si>
  <si>
    <t>(From where the system curve intersects the design impeller curve)</t>
  </si>
  <si>
    <t>200% of known flow</t>
  </si>
  <si>
    <t>Click here to go to the data used to plot the digital pump curve set</t>
  </si>
  <si>
    <t>Click here to go to the design condition tabs</t>
  </si>
  <si>
    <t>Click here to go to the 75% load condition tabs</t>
  </si>
  <si>
    <t>Click here to go to the 50% load condition tabs</t>
  </si>
  <si>
    <t>Click here to go to the 25% load condition tabs</t>
  </si>
  <si>
    <t>Click here to go to the 12.5% load condition tabs</t>
  </si>
  <si>
    <t>Summary</t>
  </si>
  <si>
    <t>Click here to go to the summary tab</t>
  </si>
  <si>
    <t>Load Condition</t>
  </si>
  <si>
    <t>Flow Rate, gpm</t>
  </si>
  <si>
    <t>Head, ft.w.c</t>
  </si>
  <si>
    <t>Pump Speed, rpm</t>
  </si>
  <si>
    <t>Pump Efficiency</t>
  </si>
  <si>
    <t>Pump Bhp</t>
  </si>
  <si>
    <t>Motor Efficiency</t>
  </si>
  <si>
    <t>VFD Efficiency</t>
  </si>
  <si>
    <t>Design</t>
  </si>
  <si>
    <t>This spreadsheet uses efficiency data for a US Motors 25 hp motor to generate efficiency curves for other motor sizes based on an assumption that the the curve shapes are similar and proportional to the nameplate motor efficiency</t>
  </si>
  <si>
    <t>Nameplate efficiency from MotorMaster for NEMA Premium Efficiency Motor</t>
  </si>
  <si>
    <t>Plot Digitizer Data</t>
  </si>
  <si>
    <t>Horsepower</t>
  </si>
  <si>
    <t>Efficiency - Plot Digitizer</t>
  </si>
  <si>
    <t>Link to Equation</t>
  </si>
  <si>
    <t xml:space="preserve">Nameplate Horsepower - </t>
  </si>
  <si>
    <t xml:space="preserve">Namplate Efficiency - </t>
  </si>
  <si>
    <t>y = 0.2111824658028150ln(x) + 0.6359480527478800</t>
  </si>
  <si>
    <t>Back to Top</t>
  </si>
  <si>
    <r>
      <t>y = -0.00000272882243596700x</t>
    </r>
    <r>
      <rPr>
        <vertAlign val="superscript"/>
        <sz val="12"/>
        <color rgb="FF000000"/>
        <rFont val="Comic Sans MS"/>
        <family val="4"/>
      </rPr>
      <t>4</t>
    </r>
    <r>
      <rPr>
        <sz val="12"/>
        <color rgb="FF000000"/>
        <rFont val="Comic Sans MS"/>
        <family val="4"/>
      </rPr>
      <t xml:space="preserve"> + 0.00020012279554159800x</t>
    </r>
    <r>
      <rPr>
        <vertAlign val="superscript"/>
        <sz val="12"/>
        <color rgb="FF000000"/>
        <rFont val="Comic Sans MS"/>
        <family val="4"/>
      </rPr>
      <t>3</t>
    </r>
    <r>
      <rPr>
        <sz val="12"/>
        <color rgb="FF000000"/>
        <rFont val="Comic Sans MS"/>
        <family val="4"/>
      </rPr>
      <t xml:space="preserve"> - 0.00530280440572924000x</t>
    </r>
    <r>
      <rPr>
        <vertAlign val="superscript"/>
        <sz val="12"/>
        <color rgb="FF000000"/>
        <rFont val="Comic Sans MS"/>
        <family val="4"/>
      </rPr>
      <t>2</t>
    </r>
    <r>
      <rPr>
        <sz val="12"/>
        <color rgb="FF000000"/>
        <rFont val="Comic Sans MS"/>
        <family val="4"/>
      </rPr>
      <t xml:space="preserve"> + 0.05994807399403190000x + 0.69380575105737600000</t>
    </r>
  </si>
  <si>
    <t>y = 0.2115810603234930ln(x) + 0.5985725790998000</t>
  </si>
  <si>
    <t>y = -0.00000125333486590551x4 + 0.00011071157367939200x3 - 0.00354093526504893000x2 + 0.04842508461609080000x + 0.70072077798516200000</t>
  </si>
  <si>
    <t>y = 0.2115810603234930ln(x) + 0.5377045011743920</t>
  </si>
  <si>
    <t>y = -0.00000039656298491363x4 + 0.00004670644514582700x3 - 0.00199177608658508000x2 + 0.03631881346200920000x + 0.70072077798588600000</t>
  </si>
  <si>
    <t>y = 0.2136046836422090ln(x) + 0.4085735109043710</t>
  </si>
  <si>
    <t>y = -0.00000003239224648108x4 + 0.00000715330890507886x3 - 0.00057196828935814500x2 + 0.01955529453145500000x + 0.70742267703065800000</t>
  </si>
  <si>
    <t>y = 0.2145040717838600ln(x) + 0.3485848445038420</t>
  </si>
  <si>
    <t>y = -0.00000001977357647103x4 + 0.00000490324034986658x3 - 0.00043734117790208300x2 + 0.01655560495725840000x + 0.72842425147362200000</t>
  </si>
  <si>
    <t>This spreadsheet uses efficiency data for a Safetronics 20 hp VFD to generate efficiency curves for other VFD sizes based on an assumption that the the curve shapes are similar and proportional to the nameplate VFD efficiency.  It produces fairly accurate results relative to the DOE data for mpst sizes above 20 hp.  In fact, for most sizes about 20 hp, the efficiencis are vitrually identical above about 42% rated load.  For less than 20 hp, use the tab for 10 hp and less.   The projections are off the most at the 1.6% and 12.5% load conditions,understating efficiency by3% and 1.9% respectsively for the 40 hp projection.   Most of the time, minimum speed restrictions will prevent HVAC system operation at these conditons.</t>
  </si>
  <si>
    <t>Nameplate efficiency from Safetronics Data published in the referenced DOE tip sheet on VFD efficiency</t>
  </si>
  <si>
    <t>Efficiency - Safetronics Data</t>
  </si>
  <si>
    <t xml:space="preserve">Rated Horsepower - </t>
  </si>
  <si>
    <t xml:space="preserve">Rated Efficiency - </t>
  </si>
  <si>
    <t>y = 0.1788990825688070x + 0.4127522935779820</t>
  </si>
  <si>
    <t>y = -0.00001436037018445750x4 +  0.00071268036973309900x3 - 0.01244805814563230000x2 + 0.09243085290103550000x + 0.69673004683703800000</t>
  </si>
  <si>
    <t>y = 0.1433326585307060x + 0.4126669365877180</t>
  </si>
  <si>
    <t>y = -0.00000588200762753621x4 + 0.00036489234930193300x3 - 0.00796675721317327000x2 + 0.07394468232088740000x + 0.69673004683416500000</t>
  </si>
  <si>
    <t>y = 0.1135902151463750x + 0.4154766967297400</t>
  </si>
  <si>
    <t>y = -0.00000380965434349997x4 + 0.00028312423935715800x3 - 0.00738946953923258000x2 + 0.08116549615999030000x + 0.62691382111474400000</t>
  </si>
  <si>
    <t>y = 0.0895829115816913x + 0.4126669365877180</t>
  </si>
  <si>
    <t>y = -0.00000089752313652599x4 + 0.00008908504621630770x3 - 0.00311201453639731000x2 + 0.04621542645027710000x + 0.69673004683940300000</t>
  </si>
  <si>
    <t>y = 0.0477775528435687x + 0.4126669365877180</t>
  </si>
  <si>
    <t>y = -0.00000007261737811830x4 + 0.00001351453145572600x3 - 0.00088519524591471800x2 + 0.02464822744039140000x + 0.69673004683638800000</t>
  </si>
  <si>
    <t>y = 0.0358331646326765x + 0.4126669365877180</t>
  </si>
  <si>
    <t>y = -0.00000002297659229506x4 + 0.00000570144295784271x3 - 0.00049792232582333000x2 + 0.01848617058022180000x + 0.69673004683416500000</t>
  </si>
  <si>
    <t>Safetronics Data</t>
  </si>
  <si>
    <t>DOE Drive Efficiencyh Tip Sheet</t>
  </si>
  <si>
    <t>Load</t>
  </si>
  <si>
    <t>hp</t>
  </si>
  <si>
    <t xml:space="preserve">Projected kW </t>
  </si>
  <si>
    <t>"Cube Rule" kW</t>
  </si>
  <si>
    <r>
      <t>kW vs. Flow</t>
    </r>
    <r>
      <rPr>
        <vertAlign val="superscript"/>
        <sz val="12"/>
        <color theme="1"/>
        <rFont val="Comic Sans MS"/>
        <family val="4"/>
      </rPr>
      <t>2.4</t>
    </r>
  </si>
  <si>
    <r>
      <t>kW vs. Flow</t>
    </r>
    <r>
      <rPr>
        <vertAlign val="superscript"/>
        <sz val="12"/>
        <color theme="1"/>
        <rFont val="Comic Sans MS"/>
        <family val="4"/>
      </rPr>
      <t>1.5</t>
    </r>
  </si>
  <si>
    <r>
      <t>kW vs. Flow</t>
    </r>
    <r>
      <rPr>
        <vertAlign val="superscript"/>
        <sz val="12"/>
        <color theme="1"/>
        <rFont val="Comic Sans MS"/>
        <family val="4"/>
      </rPr>
      <t>2.0</t>
    </r>
  </si>
  <si>
    <t>This example is a special case that looks at what happens if you only make enough pump head to satisfy all of the loads at design condition all of the time.  It tends to approach what would happen if you controlled for a fixed pressure at the pump discharge.</t>
  </si>
  <si>
    <r>
      <t>Head vs. Flow</t>
    </r>
    <r>
      <rPr>
        <vertAlign val="superscript"/>
        <sz val="12"/>
        <color theme="1"/>
        <rFont val="Comic Sans MS"/>
        <family val="4"/>
      </rPr>
      <t>2.0</t>
    </r>
  </si>
  <si>
    <t>gpm (where the new system curve crosses the full speed impeller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</si>
</sst>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000"/>
    <numFmt numFmtId="165" formatCode="[$-F800]dddd\,\ mmmm\ dd\,\ yyyy"/>
    <numFmt numFmtId="166" formatCode="#,##0.0000"/>
    <numFmt numFmtId="167" formatCode="#.\ "/>
    <numFmt numFmtId="168" formatCode="dddd\ mmmm\ dd\,\ yyyy"/>
    <numFmt numFmtId="169" formatCode="0.0%"/>
    <numFmt numFmtId="170" formatCode="#,##0.0"/>
    <numFmt numFmtId="171" formatCode="#,##0.000"/>
  </numFmts>
  <fonts count="25" x14ac:knownFonts="1">
    <font>
      <sz val="11"/>
      <color theme="1"/>
      <name val="Calibri"/>
      <family val="2"/>
      <scheme val="minor"/>
    </font>
    <font>
      <sz val="11"/>
      <color theme="1"/>
      <name val="Comic Sans MS"/>
      <family val="2"/>
    </font>
    <font>
      <sz val="11"/>
      <color theme="1"/>
      <name val="Comic Sans MS"/>
      <family val="2"/>
    </font>
    <font>
      <sz val="11"/>
      <color theme="1"/>
      <name val="Comic Sans MS"/>
      <family val="2"/>
    </font>
    <font>
      <sz val="12"/>
      <name val="Comic Sans MS"/>
      <family val="4"/>
    </font>
    <font>
      <i/>
      <sz val="12"/>
      <color indexed="8"/>
      <name val="Comic Sans MS"/>
      <family val="4"/>
    </font>
    <font>
      <sz val="12"/>
      <color theme="1"/>
      <name val="Comic Sans MS"/>
      <family val="4"/>
    </font>
    <font>
      <b/>
      <sz val="12"/>
      <color indexed="8"/>
      <name val="Comic Sans MS"/>
      <family val="4"/>
    </font>
    <font>
      <sz val="12"/>
      <color indexed="8"/>
      <name val="Comic Sans MS"/>
      <family val="4"/>
    </font>
    <font>
      <sz val="11"/>
      <color theme="1"/>
      <name val="Comic Sans MS"/>
      <family val="4"/>
    </font>
    <font>
      <i/>
      <sz val="12"/>
      <name val="Comic Sans MS"/>
      <family val="4"/>
    </font>
    <font>
      <i/>
      <sz val="14"/>
      <name val="Comic Sans MS"/>
      <family val="4"/>
    </font>
    <font>
      <i/>
      <sz val="12"/>
      <color indexed="8"/>
      <name val="Times New Roman"/>
      <family val="1"/>
    </font>
    <font>
      <sz val="11"/>
      <color theme="0"/>
      <name val="Comic Sans MS"/>
      <family val="2"/>
    </font>
    <font>
      <sz val="12"/>
      <color theme="0"/>
      <name val="Comic Sans MS"/>
      <family val="4"/>
    </font>
    <font>
      <i/>
      <u/>
      <sz val="12"/>
      <color indexed="8"/>
      <name val="Comic Sans MS"/>
      <family val="4"/>
    </font>
    <font>
      <u/>
      <sz val="12"/>
      <color theme="8"/>
      <name val="Comic Sans MS"/>
      <family val="4"/>
    </font>
    <font>
      <b/>
      <sz val="12"/>
      <color theme="0"/>
      <name val="Comic Sans MS"/>
      <family val="4"/>
    </font>
    <font>
      <b/>
      <sz val="12"/>
      <color theme="1"/>
      <name val="Comic Sans MS"/>
      <family val="4"/>
    </font>
    <font>
      <u/>
      <sz val="12"/>
      <color theme="10"/>
      <name val="Comic Sans MS"/>
      <family val="4"/>
    </font>
    <font>
      <u/>
      <sz val="12"/>
      <color theme="0"/>
      <name val="Comic Sans MS"/>
      <family val="4"/>
    </font>
    <font>
      <u/>
      <sz val="12"/>
      <color theme="1"/>
      <name val="Comic Sans MS"/>
      <family val="4"/>
    </font>
    <font>
      <sz val="12"/>
      <color rgb="FF000000"/>
      <name val="Comic Sans MS"/>
      <family val="4"/>
    </font>
    <font>
      <vertAlign val="superscript"/>
      <sz val="12"/>
      <color rgb="FF000000"/>
      <name val="Comic Sans MS"/>
      <family val="4"/>
    </font>
    <font>
      <vertAlign val="superscript"/>
      <sz val="12"/>
      <color theme="1"/>
      <name val="Comic Sans MS"/>
      <family val="4"/>
    </font>
  </fonts>
  <fills count="33">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rgb="FF00B050"/>
        <bgColor indexed="64"/>
      </patternFill>
    </fill>
    <fill>
      <patternFill patternType="solid">
        <fgColor theme="7"/>
        <bgColor indexed="64"/>
      </patternFill>
    </fill>
    <fill>
      <patternFill patternType="solid">
        <fgColor theme="0" tint="-0.249977111117893"/>
        <bgColor indexed="64"/>
      </patternFill>
    </fill>
    <fill>
      <patternFill patternType="solid">
        <fgColor theme="6"/>
        <bgColor indexed="64"/>
      </patternFill>
    </fill>
    <fill>
      <patternFill patternType="solid">
        <fgColor rgb="FF00B0F0"/>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3" tint="-4.9989318521683403E-2"/>
        <bgColor indexed="64"/>
      </patternFill>
    </fill>
    <fill>
      <patternFill patternType="solid">
        <fgColor theme="3" tint="-0.14999847407452621"/>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8"/>
        <bgColor indexed="64"/>
      </patternFill>
    </fill>
    <fill>
      <patternFill patternType="solid">
        <fgColor theme="9"/>
        <bgColor indexed="64"/>
      </patternFill>
    </fill>
    <fill>
      <patternFill patternType="solid">
        <fgColor theme="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s>
  <borders count="10">
    <border>
      <left/>
      <right/>
      <top/>
      <bottom/>
      <diagonal/>
    </border>
    <border>
      <left style="medium">
        <color indexed="23"/>
      </left>
      <right/>
      <top/>
      <bottom/>
      <diagonal/>
    </border>
    <border>
      <left style="medium">
        <color indexed="23"/>
      </left>
      <right style="medium">
        <color indexed="23"/>
      </right>
      <top/>
      <bottom/>
      <diagonal/>
    </border>
    <border>
      <left/>
      <right style="medium">
        <color indexed="23"/>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s>
  <cellStyleXfs count="7">
    <xf numFmtId="0" fontId="0" fillId="0" borderId="0"/>
    <xf numFmtId="0" fontId="4" fillId="0" borderId="0">
      <alignment vertical="top"/>
    </xf>
    <xf numFmtId="0" fontId="4" fillId="0" borderId="0">
      <alignment vertical="top"/>
    </xf>
    <xf numFmtId="0" fontId="3" fillId="0" borderId="0"/>
    <xf numFmtId="0" fontId="16" fillId="0" borderId="0" applyNumberFormat="0" applyFill="0" applyBorder="0" applyAlignment="0" applyProtection="0"/>
    <xf numFmtId="0" fontId="16" fillId="0" borderId="0" applyNumberFormat="0" applyFill="0" applyBorder="0" applyAlignment="0" applyProtection="0"/>
    <xf numFmtId="0" fontId="19" fillId="0" borderId="0" applyNumberFormat="0" applyFill="0" applyBorder="0" applyAlignment="0" applyProtection="0">
      <alignment vertical="top"/>
    </xf>
  </cellStyleXfs>
  <cellXfs count="244">
    <xf numFmtId="0" fontId="0" fillId="0" borderId="0" xfId="0"/>
    <xf numFmtId="164" fontId="5" fillId="0" borderId="0" xfId="1" applyNumberFormat="1" applyFont="1" applyAlignment="1" applyProtection="1">
      <alignment horizontal="left" vertical="top"/>
    </xf>
    <xf numFmtId="164" fontId="6" fillId="0" borderId="0" xfId="0" applyNumberFormat="1" applyFont="1" applyAlignment="1">
      <alignment vertical="top"/>
    </xf>
    <xf numFmtId="164" fontId="7" fillId="0" borderId="0" xfId="1" applyNumberFormat="1" applyFont="1" applyAlignment="1" applyProtection="1">
      <alignment horizontal="left" vertical="top"/>
    </xf>
    <xf numFmtId="164" fontId="8" fillId="0" borderId="0" xfId="0" applyNumberFormat="1" applyFont="1" applyFill="1" applyAlignment="1" applyProtection="1"/>
    <xf numFmtId="165" fontId="6" fillId="0" borderId="0" xfId="0" applyNumberFormat="1" applyFont="1" applyAlignment="1">
      <alignment vertical="top"/>
    </xf>
    <xf numFmtId="164" fontId="8" fillId="0" borderId="0" xfId="0" applyNumberFormat="1" applyFont="1" applyFill="1" applyAlignment="1">
      <alignment vertical="top"/>
    </xf>
    <xf numFmtId="0" fontId="9" fillId="0" borderId="0" xfId="0" applyFont="1"/>
    <xf numFmtId="0" fontId="9" fillId="2" borderId="0" xfId="0" applyFont="1" applyFill="1"/>
    <xf numFmtId="0" fontId="9" fillId="0" borderId="0" xfId="0" applyFont="1" applyFill="1"/>
    <xf numFmtId="0" fontId="4" fillId="0" borderId="0" xfId="1">
      <alignment vertical="top"/>
    </xf>
    <xf numFmtId="3" fontId="4" fillId="0" borderId="0" xfId="1" applyNumberFormat="1">
      <alignment vertical="top"/>
    </xf>
    <xf numFmtId="0" fontId="4" fillId="0" borderId="0" xfId="1" applyAlignment="1">
      <alignment horizontal="left" vertical="top"/>
    </xf>
    <xf numFmtId="0" fontId="4" fillId="0" borderId="0" xfId="1" applyAlignment="1">
      <alignment horizontal="right" vertical="top"/>
    </xf>
    <xf numFmtId="3" fontId="4" fillId="0" borderId="0" xfId="1" applyNumberFormat="1" applyAlignment="1">
      <alignment horizontal="right" vertical="top"/>
    </xf>
    <xf numFmtId="3" fontId="4" fillId="0" borderId="0" xfId="1" quotePrefix="1" applyNumberFormat="1" applyAlignment="1">
      <alignment horizontal="left" vertical="top"/>
    </xf>
    <xf numFmtId="0" fontId="4" fillId="0" borderId="0" xfId="1" applyAlignment="1">
      <alignment vertical="top"/>
    </xf>
    <xf numFmtId="3" fontId="4" fillId="0" borderId="0" xfId="1" applyNumberFormat="1" applyAlignment="1">
      <alignment vertical="top"/>
    </xf>
    <xf numFmtId="0" fontId="4" fillId="0" borderId="0" xfId="1" applyAlignment="1">
      <alignment horizontal="left" vertical="top" wrapText="1"/>
    </xf>
    <xf numFmtId="0" fontId="10" fillId="0" borderId="0" xfId="1" applyFont="1" applyAlignment="1">
      <alignment horizontal="left" vertical="top"/>
    </xf>
    <xf numFmtId="0" fontId="4" fillId="0" borderId="0" xfId="1" applyFont="1">
      <alignment vertical="top"/>
    </xf>
    <xf numFmtId="0" fontId="4" fillId="4" borderId="3" xfId="1" applyFont="1" applyFill="1" applyBorder="1">
      <alignment vertical="top"/>
    </xf>
    <xf numFmtId="0" fontId="4" fillId="5" borderId="3" xfId="1" applyFont="1" applyFill="1" applyBorder="1">
      <alignment vertical="top"/>
    </xf>
    <xf numFmtId="3" fontId="4" fillId="4" borderId="2" xfId="1" applyNumberFormat="1" applyFont="1" applyFill="1" applyBorder="1" applyAlignment="1">
      <alignment horizontal="center" vertical="top"/>
    </xf>
    <xf numFmtId="0" fontId="11" fillId="0" borderId="0" xfId="1" applyFont="1">
      <alignment vertical="top"/>
    </xf>
    <xf numFmtId="3" fontId="8" fillId="0" borderId="0" xfId="1" applyNumberFormat="1" applyFont="1">
      <alignment vertical="top"/>
    </xf>
    <xf numFmtId="0" fontId="10" fillId="0" borderId="0" xfId="1" applyFont="1">
      <alignment vertical="top"/>
    </xf>
    <xf numFmtId="0" fontId="4" fillId="0" borderId="0" xfId="2" applyFont="1">
      <alignment vertical="top"/>
    </xf>
    <xf numFmtId="4" fontId="8" fillId="0" borderId="0" xfId="2" applyNumberFormat="1" applyFont="1" applyFill="1" applyAlignment="1">
      <alignment horizontal="center" vertical="top"/>
    </xf>
    <xf numFmtId="166" fontId="8" fillId="0" borderId="0" xfId="2" applyNumberFormat="1" applyFont="1" applyFill="1" applyAlignment="1">
      <alignment horizontal="center" vertical="top"/>
    </xf>
    <xf numFmtId="3" fontId="8" fillId="0" borderId="0" xfId="2" applyNumberFormat="1" applyFont="1" applyFill="1" applyAlignment="1">
      <alignment horizontal="center" vertical="top"/>
    </xf>
    <xf numFmtId="0" fontId="8" fillId="0" borderId="0" xfId="2" applyFont="1" applyFill="1" applyAlignment="1">
      <alignment horizontal="center" vertical="top"/>
    </xf>
    <xf numFmtId="0" fontId="8" fillId="0" borderId="0" xfId="2" applyFont="1" applyFill="1" applyAlignment="1">
      <alignment horizontal="left" vertical="top"/>
    </xf>
    <xf numFmtId="167" fontId="8" fillId="0" borderId="0" xfId="2" applyNumberFormat="1" applyFont="1" applyFill="1">
      <alignment vertical="top"/>
    </xf>
    <xf numFmtId="4" fontId="8" fillId="0" borderId="0" xfId="2" applyNumberFormat="1" applyFont="1" applyFill="1" applyAlignment="1">
      <alignment horizontal="left" vertical="top"/>
    </xf>
    <xf numFmtId="166" fontId="8" fillId="0" borderId="0" xfId="2" applyNumberFormat="1" applyFont="1" applyFill="1" applyAlignment="1">
      <alignment horizontal="right" vertical="top"/>
    </xf>
    <xf numFmtId="2" fontId="4" fillId="6" borderId="0" xfId="1" applyNumberFormat="1" applyFill="1" applyAlignment="1">
      <alignment horizontal="right" vertical="top"/>
    </xf>
    <xf numFmtId="0" fontId="8" fillId="0" borderId="0" xfId="2" applyFont="1" applyFill="1" applyAlignment="1">
      <alignment horizontal="right" vertical="top"/>
    </xf>
    <xf numFmtId="16" fontId="8" fillId="0" borderId="0" xfId="2" applyNumberFormat="1" applyFont="1" applyFill="1" applyAlignment="1">
      <alignment horizontal="left" vertical="top"/>
    </xf>
    <xf numFmtId="3" fontId="4" fillId="6" borderId="0" xfId="1" applyNumberFormat="1" applyFill="1" applyAlignment="1">
      <alignment horizontal="right" vertical="top"/>
    </xf>
    <xf numFmtId="0" fontId="8" fillId="0" borderId="0" xfId="2" applyFont="1" applyFill="1">
      <alignment vertical="top"/>
    </xf>
    <xf numFmtId="0" fontId="8" fillId="0" borderId="0" xfId="2" applyFont="1" applyFill="1" applyAlignment="1" applyProtection="1"/>
    <xf numFmtId="168" fontId="4" fillId="0" borderId="0" xfId="2" applyNumberFormat="1" applyAlignment="1">
      <alignment horizontal="left" vertical="top"/>
    </xf>
    <xf numFmtId="0" fontId="8" fillId="0" borderId="0" xfId="1" applyFont="1" applyProtection="1">
      <alignment vertical="top"/>
    </xf>
    <xf numFmtId="3" fontId="8" fillId="0" borderId="0" xfId="1" applyNumberFormat="1" applyFont="1" applyProtection="1">
      <alignment vertical="top"/>
    </xf>
    <xf numFmtId="0" fontId="7" fillId="0" borderId="0" xfId="1" applyFont="1" applyAlignment="1" applyProtection="1">
      <alignment horizontal="left" vertical="top"/>
    </xf>
    <xf numFmtId="3" fontId="12" fillId="0" borderId="0" xfId="1" applyNumberFormat="1" applyFont="1" applyProtection="1">
      <alignment vertical="top"/>
    </xf>
    <xf numFmtId="0" fontId="12" fillId="0" borderId="0" xfId="1" applyFont="1" applyAlignment="1" applyProtection="1">
      <alignment horizontal="left" vertical="top"/>
    </xf>
    <xf numFmtId="0" fontId="4" fillId="0" borderId="0" xfId="1" applyFill="1">
      <alignment vertical="top"/>
    </xf>
    <xf numFmtId="0" fontId="8" fillId="0" borderId="0" xfId="1" applyFont="1" applyFill="1" applyProtection="1">
      <alignment vertical="top"/>
    </xf>
    <xf numFmtId="3" fontId="4" fillId="0" borderId="0" xfId="1" applyNumberFormat="1" applyFill="1">
      <alignment vertical="top"/>
    </xf>
    <xf numFmtId="3" fontId="4" fillId="0" borderId="0" xfId="1" applyNumberFormat="1" applyFont="1">
      <alignment vertical="top"/>
    </xf>
    <xf numFmtId="2" fontId="4" fillId="4" borderId="1" xfId="1" applyNumberFormat="1" applyFont="1" applyFill="1" applyBorder="1" applyAlignment="1">
      <alignment horizontal="center" vertical="top"/>
    </xf>
    <xf numFmtId="3" fontId="4" fillId="5" borderId="2" xfId="1" applyNumberFormat="1" applyFont="1" applyFill="1" applyBorder="1" applyAlignment="1">
      <alignment horizontal="center" vertical="top"/>
    </xf>
    <xf numFmtId="2" fontId="4" fillId="5" borderId="1" xfId="1" applyNumberFormat="1" applyFont="1" applyFill="1" applyBorder="1" applyAlignment="1">
      <alignment horizontal="center" vertical="top"/>
    </xf>
    <xf numFmtId="3" fontId="4" fillId="2" borderId="2" xfId="1" applyNumberFormat="1" applyFont="1" applyFill="1" applyBorder="1" applyAlignment="1">
      <alignment horizontal="center" vertical="top"/>
    </xf>
    <xf numFmtId="2" fontId="4" fillId="9" borderId="1" xfId="1" applyNumberFormat="1" applyFont="1" applyFill="1" applyBorder="1" applyAlignment="1">
      <alignment horizontal="center" vertical="top"/>
    </xf>
    <xf numFmtId="170" fontId="8" fillId="0" borderId="0" xfId="2" applyNumberFormat="1" applyFont="1" applyFill="1" applyAlignment="1">
      <alignment horizontal="right" vertical="top"/>
    </xf>
    <xf numFmtId="3" fontId="13" fillId="8" borderId="0" xfId="3" applyNumberFormat="1" applyFont="1" applyFill="1" applyAlignment="1">
      <alignment vertical="top"/>
    </xf>
    <xf numFmtId="3" fontId="3" fillId="8" borderId="0" xfId="3" applyNumberFormat="1" applyFill="1" applyAlignment="1">
      <alignment horizontal="center" vertical="top"/>
    </xf>
    <xf numFmtId="3" fontId="3" fillId="8" borderId="0" xfId="3" applyNumberFormat="1" applyFill="1" applyAlignment="1">
      <alignment vertical="top"/>
    </xf>
    <xf numFmtId="3" fontId="3" fillId="0" borderId="0" xfId="3" applyNumberFormat="1" applyAlignment="1">
      <alignment vertical="top"/>
    </xf>
    <xf numFmtId="3" fontId="3" fillId="0" borderId="0" xfId="3" applyNumberFormat="1" applyAlignment="1">
      <alignment horizontal="center" vertical="top"/>
    </xf>
    <xf numFmtId="3" fontId="3" fillId="0" borderId="0" xfId="3" applyNumberFormat="1" applyAlignment="1">
      <alignment horizontal="right" vertical="top"/>
    </xf>
    <xf numFmtId="171" fontId="3" fillId="0" borderId="0" xfId="3" applyNumberFormat="1" applyAlignment="1">
      <alignment horizontal="right" vertical="top"/>
    </xf>
    <xf numFmtId="3" fontId="3" fillId="0" borderId="0" xfId="3" applyNumberFormat="1" applyAlignment="1">
      <alignment horizontal="left" vertical="top"/>
    </xf>
    <xf numFmtId="171" fontId="3" fillId="0" borderId="0" xfId="3" applyNumberFormat="1" applyAlignment="1">
      <alignment horizontal="center" vertical="top"/>
    </xf>
    <xf numFmtId="3" fontId="3" fillId="0" borderId="0" xfId="3" applyNumberFormat="1" applyAlignment="1">
      <alignment horizontal="center" vertical="top" wrapText="1"/>
    </xf>
    <xf numFmtId="3" fontId="3" fillId="3" borderId="0" xfId="3" applyNumberFormat="1" applyFill="1" applyAlignment="1">
      <alignment horizontal="center" vertical="top" wrapText="1"/>
    </xf>
    <xf numFmtId="3" fontId="3" fillId="0" borderId="0" xfId="3" applyNumberFormat="1" applyAlignment="1">
      <alignment vertical="top" wrapText="1"/>
    </xf>
    <xf numFmtId="3" fontId="3" fillId="3" borderId="0" xfId="3" applyNumberFormat="1" applyFill="1" applyAlignment="1">
      <alignment horizontal="center" vertical="top"/>
    </xf>
    <xf numFmtId="3" fontId="14" fillId="7" borderId="0" xfId="1" applyNumberFormat="1" applyFont="1" applyFill="1" applyAlignment="1">
      <alignment vertical="top"/>
    </xf>
    <xf numFmtId="0" fontId="14" fillId="7" borderId="0" xfId="1" applyFont="1" applyFill="1" applyAlignment="1">
      <alignment vertical="top"/>
    </xf>
    <xf numFmtId="0" fontId="14" fillId="7" borderId="0" xfId="1" applyFont="1" applyFill="1">
      <alignment vertical="top"/>
    </xf>
    <xf numFmtId="3" fontId="4" fillId="9" borderId="2" xfId="1" applyNumberFormat="1" applyFont="1" applyFill="1" applyBorder="1" applyAlignment="1">
      <alignment horizontal="center" vertical="top"/>
    </xf>
    <xf numFmtId="2" fontId="4" fillId="9" borderId="0" xfId="1" applyNumberFormat="1" applyFill="1" applyAlignment="1">
      <alignment horizontal="center" vertical="top"/>
    </xf>
    <xf numFmtId="2" fontId="4" fillId="4" borderId="0" xfId="1" applyNumberFormat="1" applyFill="1" applyAlignment="1">
      <alignment horizontal="center" vertical="top"/>
    </xf>
    <xf numFmtId="3" fontId="4" fillId="3" borderId="2" xfId="1" applyNumberFormat="1" applyFont="1" applyFill="1" applyBorder="1" applyAlignment="1">
      <alignment horizontal="center" vertical="top"/>
    </xf>
    <xf numFmtId="0" fontId="9" fillId="3" borderId="0" xfId="0" applyFont="1" applyFill="1"/>
    <xf numFmtId="3" fontId="3" fillId="2" borderId="0" xfId="3" applyNumberFormat="1" applyFill="1" applyAlignment="1">
      <alignment horizontal="center" vertical="top"/>
    </xf>
    <xf numFmtId="0" fontId="6" fillId="7" borderId="3" xfId="1" applyFont="1" applyFill="1" applyBorder="1">
      <alignment vertical="top"/>
    </xf>
    <xf numFmtId="3" fontId="6" fillId="7" borderId="2" xfId="1" applyNumberFormat="1" applyFont="1" applyFill="1" applyBorder="1" applyAlignment="1">
      <alignment horizontal="center" vertical="top"/>
    </xf>
    <xf numFmtId="0" fontId="6" fillId="7" borderId="1" xfId="1" applyFont="1" applyFill="1" applyBorder="1" applyAlignment="1">
      <alignment horizontal="center" vertical="top"/>
    </xf>
    <xf numFmtId="4" fontId="8" fillId="2" borderId="0" xfId="2" applyNumberFormat="1" applyFont="1" applyFill="1" applyAlignment="1">
      <alignment horizontal="right" vertical="top"/>
    </xf>
    <xf numFmtId="2" fontId="4" fillId="10" borderId="1" xfId="1" applyNumberFormat="1" applyFont="1" applyFill="1" applyBorder="1" applyAlignment="1">
      <alignment horizontal="center" vertical="top"/>
    </xf>
    <xf numFmtId="2" fontId="4" fillId="10" borderId="0" xfId="1" applyNumberFormat="1" applyFill="1" applyAlignment="1">
      <alignment horizontal="center" vertical="top"/>
    </xf>
    <xf numFmtId="0" fontId="4" fillId="11" borderId="3" xfId="1" applyFont="1" applyFill="1" applyBorder="1">
      <alignment vertical="top"/>
    </xf>
    <xf numFmtId="3" fontId="4" fillId="11" borderId="2" xfId="1" applyNumberFormat="1" applyFont="1" applyFill="1" applyBorder="1" applyAlignment="1">
      <alignment horizontal="center" vertical="top"/>
    </xf>
    <xf numFmtId="2" fontId="4" fillId="11" borderId="1" xfId="1" applyNumberFormat="1" applyFont="1" applyFill="1" applyBorder="1" applyAlignment="1">
      <alignment horizontal="center" vertical="top"/>
    </xf>
    <xf numFmtId="3" fontId="3" fillId="3" borderId="0" xfId="3" applyNumberFormat="1" applyFill="1" applyAlignment="1">
      <alignment horizontal="right" vertical="top"/>
    </xf>
    <xf numFmtId="3" fontId="2" fillId="0" borderId="0" xfId="3" applyNumberFormat="1" applyFont="1" applyAlignment="1">
      <alignment horizontal="left" vertical="top"/>
    </xf>
    <xf numFmtId="3" fontId="3" fillId="0" borderId="0" xfId="3" applyNumberFormat="1" applyFill="1" applyAlignment="1">
      <alignment horizontal="right" vertical="top"/>
    </xf>
    <xf numFmtId="170" fontId="8" fillId="3" borderId="0" xfId="2" applyNumberFormat="1" applyFont="1" applyFill="1" applyAlignment="1">
      <alignment horizontal="right" vertical="top"/>
    </xf>
    <xf numFmtId="3" fontId="2" fillId="0" borderId="0" xfId="3" applyNumberFormat="1" applyFont="1" applyAlignment="1">
      <alignment horizontal="right" vertical="top"/>
    </xf>
    <xf numFmtId="171" fontId="3" fillId="0" borderId="0" xfId="3" applyNumberFormat="1" applyAlignment="1">
      <alignment horizontal="left" vertical="top"/>
    </xf>
    <xf numFmtId="169" fontId="8" fillId="2" borderId="0" xfId="2" applyNumberFormat="1" applyFont="1" applyFill="1" applyAlignment="1">
      <alignment vertical="top"/>
    </xf>
    <xf numFmtId="170" fontId="4" fillId="6" borderId="0" xfId="1" applyNumberFormat="1" applyFill="1" applyAlignment="1">
      <alignment horizontal="right" vertical="top"/>
    </xf>
    <xf numFmtId="171" fontId="4" fillId="6" borderId="0" xfId="1" applyNumberFormat="1" applyFill="1" applyAlignment="1">
      <alignment horizontal="right" vertical="top"/>
    </xf>
    <xf numFmtId="0" fontId="6" fillId="12" borderId="0" xfId="0" applyFont="1" applyFill="1" applyAlignment="1">
      <alignment vertical="top"/>
    </xf>
    <xf numFmtId="0" fontId="6" fillId="0" borderId="0" xfId="0" applyFont="1" applyAlignment="1">
      <alignment vertical="top"/>
    </xf>
    <xf numFmtId="0" fontId="6" fillId="10" borderId="0" xfId="0" applyFont="1" applyFill="1" applyAlignment="1">
      <alignment vertical="top"/>
    </xf>
    <xf numFmtId="0" fontId="6" fillId="3" borderId="0" xfId="0" applyFont="1" applyFill="1" applyAlignment="1">
      <alignment vertical="top"/>
    </xf>
    <xf numFmtId="0" fontId="6" fillId="7" borderId="0" xfId="0" applyFont="1" applyFill="1" applyAlignment="1">
      <alignment vertical="top"/>
    </xf>
    <xf numFmtId="0" fontId="6" fillId="24" borderId="0" xfId="0" applyFont="1" applyFill="1" applyAlignment="1">
      <alignment vertical="top"/>
    </xf>
    <xf numFmtId="0" fontId="6" fillId="25" borderId="0" xfId="0" applyFont="1" applyFill="1" applyAlignment="1">
      <alignment vertical="top"/>
    </xf>
    <xf numFmtId="0" fontId="6" fillId="26" borderId="0" xfId="0" applyFont="1" applyFill="1" applyAlignment="1">
      <alignment vertical="top"/>
    </xf>
    <xf numFmtId="0" fontId="16" fillId="0" borderId="0" xfId="4" applyAlignment="1">
      <alignment horizontal="center" vertical="top"/>
    </xf>
    <xf numFmtId="0" fontId="6" fillId="0" borderId="0" xfId="0" applyFont="1" applyAlignment="1">
      <alignment vertical="top" wrapText="1"/>
    </xf>
    <xf numFmtId="3" fontId="6" fillId="0" borderId="0" xfId="0" applyNumberFormat="1" applyFont="1" applyAlignment="1">
      <alignment horizontal="center" vertical="top"/>
    </xf>
    <xf numFmtId="9" fontId="6" fillId="0" borderId="0" xfId="0" applyNumberFormat="1" applyFont="1" applyAlignment="1">
      <alignment horizontal="center" vertical="top"/>
    </xf>
    <xf numFmtId="170" fontId="6" fillId="0" borderId="0" xfId="0" applyNumberFormat="1" applyFont="1" applyAlignment="1">
      <alignment horizontal="center" vertical="top"/>
    </xf>
    <xf numFmtId="171" fontId="6" fillId="0" borderId="0" xfId="0" applyNumberFormat="1" applyFont="1" applyAlignment="1">
      <alignment horizontal="center" vertical="top"/>
    </xf>
    <xf numFmtId="169" fontId="6" fillId="0" borderId="0" xfId="0" applyNumberFormat="1" applyFont="1" applyAlignment="1">
      <alignment horizontal="center" vertical="top"/>
    </xf>
    <xf numFmtId="0" fontId="4" fillId="0" borderId="0" xfId="1" applyFill="1" applyAlignment="1">
      <alignment vertical="top"/>
    </xf>
    <xf numFmtId="3" fontId="4" fillId="0" borderId="0" xfId="1" applyNumberFormat="1" applyFill="1" applyAlignment="1">
      <alignment vertical="top"/>
    </xf>
    <xf numFmtId="0" fontId="8" fillId="0" borderId="0" xfId="1" applyFont="1" applyFill="1" applyAlignment="1" applyProtection="1">
      <alignment vertical="top"/>
    </xf>
    <xf numFmtId="3" fontId="12" fillId="0" borderId="0" xfId="1" applyNumberFormat="1" applyFont="1" applyAlignment="1" applyProtection="1">
      <alignment vertical="top"/>
    </xf>
    <xf numFmtId="0" fontId="8" fillId="0" borderId="0" xfId="1" applyFont="1" applyAlignment="1" applyProtection="1">
      <alignment vertical="top"/>
    </xf>
    <xf numFmtId="3" fontId="8" fillId="0" borderId="0" xfId="1" applyNumberFormat="1" applyFont="1" applyAlignment="1" applyProtection="1">
      <alignment vertical="top"/>
    </xf>
    <xf numFmtId="0" fontId="8" fillId="0" borderId="0" xfId="2" applyFont="1" applyFill="1" applyAlignment="1" applyProtection="1">
      <alignment vertical="top"/>
    </xf>
    <xf numFmtId="0" fontId="4" fillId="0" borderId="0" xfId="2" applyFont="1" applyAlignment="1">
      <alignment vertical="top"/>
    </xf>
    <xf numFmtId="0" fontId="8" fillId="0" borderId="0" xfId="2" applyFont="1" applyFill="1" applyAlignment="1">
      <alignment vertical="top"/>
    </xf>
    <xf numFmtId="167" fontId="8" fillId="0" borderId="0" xfId="2" applyNumberFormat="1" applyFont="1" applyFill="1" applyAlignment="1">
      <alignment vertical="top"/>
    </xf>
    <xf numFmtId="0" fontId="8" fillId="0" borderId="0" xfId="2" applyFont="1" applyFill="1" applyAlignment="1">
      <alignment horizontal="left" vertical="top" wrapText="1"/>
    </xf>
    <xf numFmtId="0" fontId="10" fillId="0" borderId="0" xfId="1" applyFont="1" applyAlignment="1">
      <alignment vertical="top"/>
    </xf>
    <xf numFmtId="3" fontId="8" fillId="0" borderId="0" xfId="1" applyNumberFormat="1" applyFont="1" applyAlignment="1">
      <alignment vertical="top"/>
    </xf>
    <xf numFmtId="4" fontId="17" fillId="12" borderId="4" xfId="2" applyNumberFormat="1" applyFont="1" applyFill="1" applyBorder="1" applyAlignment="1">
      <alignment horizontal="center" vertical="top"/>
    </xf>
    <xf numFmtId="0" fontId="17" fillId="22" borderId="5" xfId="2" applyFont="1" applyFill="1" applyBorder="1" applyAlignment="1">
      <alignment horizontal="center" vertical="top" wrapText="1"/>
    </xf>
    <xf numFmtId="0" fontId="17" fillId="8" borderId="5" xfId="1" applyFont="1" applyFill="1" applyBorder="1" applyAlignment="1">
      <alignment horizontal="center" vertical="top" wrapText="1"/>
    </xf>
    <xf numFmtId="0" fontId="17" fillId="24" borderId="5" xfId="1" applyFont="1" applyFill="1" applyBorder="1" applyAlignment="1">
      <alignment horizontal="center" vertical="top" wrapText="1"/>
    </xf>
    <xf numFmtId="0" fontId="17" fillId="24" borderId="6" xfId="1" applyFont="1" applyFill="1" applyBorder="1" applyAlignment="1">
      <alignment horizontal="center" vertical="top" wrapText="1"/>
    </xf>
    <xf numFmtId="0" fontId="18" fillId="3" borderId="5" xfId="1" applyFont="1" applyFill="1" applyBorder="1" applyAlignment="1">
      <alignment horizontal="center" vertical="top" wrapText="1"/>
    </xf>
    <xf numFmtId="4" fontId="14" fillId="12" borderId="4" xfId="2" applyNumberFormat="1" applyFont="1" applyFill="1" applyBorder="1" applyAlignment="1">
      <alignment horizontal="center" vertical="top"/>
    </xf>
    <xf numFmtId="0" fontId="14" fillId="22" borderId="5" xfId="2" applyFont="1" applyFill="1" applyBorder="1" applyAlignment="1">
      <alignment horizontal="center" vertical="top" wrapText="1"/>
    </xf>
    <xf numFmtId="0" fontId="16" fillId="4" borderId="5" xfId="6" applyFont="1" applyFill="1" applyBorder="1" applyAlignment="1">
      <alignment horizontal="center" vertical="top" wrapText="1"/>
    </xf>
    <xf numFmtId="0" fontId="20" fillId="24" borderId="5" xfId="6" applyFont="1" applyFill="1" applyBorder="1" applyAlignment="1">
      <alignment horizontal="center" vertical="top" wrapText="1"/>
    </xf>
    <xf numFmtId="0" fontId="14" fillId="24" borderId="5" xfId="1" applyFont="1" applyFill="1" applyBorder="1" applyAlignment="1">
      <alignment vertical="top"/>
    </xf>
    <xf numFmtId="0" fontId="21" fillId="3" borderId="5" xfId="6" applyFont="1" applyFill="1" applyBorder="1" applyAlignment="1">
      <alignment horizontal="center" vertical="top" wrapText="1"/>
    </xf>
    <xf numFmtId="4" fontId="4" fillId="13" borderId="4" xfId="2" applyNumberFormat="1" applyFill="1" applyBorder="1" applyAlignment="1">
      <alignment horizontal="center" vertical="top"/>
    </xf>
    <xf numFmtId="169" fontId="4" fillId="13" borderId="5" xfId="2" applyNumberFormat="1" applyFill="1" applyBorder="1" applyAlignment="1">
      <alignment horizontal="center" vertical="top"/>
    </xf>
    <xf numFmtId="169" fontId="4" fillId="23" borderId="5" xfId="2" applyNumberFormat="1" applyFill="1" applyBorder="1" applyAlignment="1">
      <alignment horizontal="center" vertical="top"/>
    </xf>
    <xf numFmtId="4" fontId="4" fillId="19" borderId="5" xfId="2" applyNumberFormat="1" applyFill="1" applyBorder="1" applyAlignment="1">
      <alignment horizontal="center" vertical="top"/>
    </xf>
    <xf numFmtId="169" fontId="4" fillId="19" borderId="5" xfId="2" applyNumberFormat="1" applyFill="1" applyBorder="1" applyAlignment="1">
      <alignment horizontal="center" vertical="top"/>
    </xf>
    <xf numFmtId="169" fontId="4" fillId="19" borderId="6" xfId="1" applyNumberFormat="1" applyFill="1" applyBorder="1" applyAlignment="1">
      <alignment horizontal="center" vertical="top"/>
    </xf>
    <xf numFmtId="4" fontId="4" fillId="14" borderId="5" xfId="2" applyNumberFormat="1" applyFill="1" applyBorder="1" applyAlignment="1">
      <alignment horizontal="center" vertical="top"/>
    </xf>
    <xf numFmtId="169" fontId="4" fillId="14" borderId="5" xfId="2" applyNumberFormat="1" applyFill="1" applyBorder="1" applyAlignment="1">
      <alignment horizontal="center" vertical="top"/>
    </xf>
    <xf numFmtId="4" fontId="4" fillId="27" borderId="4" xfId="2" applyNumberFormat="1" applyFill="1" applyBorder="1" applyAlignment="1">
      <alignment horizontal="center" vertical="top"/>
    </xf>
    <xf numFmtId="169" fontId="4" fillId="27" borderId="5" xfId="2" applyNumberFormat="1" applyFill="1" applyBorder="1" applyAlignment="1">
      <alignment horizontal="center" vertical="top"/>
    </xf>
    <xf numFmtId="169" fontId="4" fillId="17" borderId="5" xfId="2" applyNumberFormat="1" applyFill="1" applyBorder="1" applyAlignment="1">
      <alignment horizontal="center" vertical="top"/>
    </xf>
    <xf numFmtId="4" fontId="4" fillId="18" borderId="5" xfId="2" applyNumberFormat="1" applyFill="1" applyBorder="1" applyAlignment="1">
      <alignment horizontal="center" vertical="top"/>
    </xf>
    <xf numFmtId="169" fontId="4" fillId="18" borderId="5" xfId="2" applyNumberFormat="1" applyFill="1" applyBorder="1" applyAlignment="1">
      <alignment horizontal="center" vertical="top"/>
    </xf>
    <xf numFmtId="169" fontId="4" fillId="18" borderId="6" xfId="1" applyNumberFormat="1" applyFill="1" applyBorder="1" applyAlignment="1">
      <alignment horizontal="center" vertical="top"/>
    </xf>
    <xf numFmtId="4" fontId="4" fillId="28" borderId="5" xfId="2" applyNumberFormat="1" applyFill="1" applyBorder="1" applyAlignment="1">
      <alignment horizontal="center" vertical="top"/>
    </xf>
    <xf numFmtId="169" fontId="4" fillId="28" borderId="5" xfId="2" applyNumberFormat="1" applyFill="1" applyBorder="1" applyAlignment="1">
      <alignment horizontal="center" vertical="top"/>
    </xf>
    <xf numFmtId="4" fontId="4" fillId="16" borderId="4" xfId="2" applyNumberFormat="1" applyFill="1" applyBorder="1" applyAlignment="1">
      <alignment horizontal="center" vertical="top"/>
    </xf>
    <xf numFmtId="169" fontId="4" fillId="16" borderId="5" xfId="2" applyNumberFormat="1" applyFill="1" applyBorder="1" applyAlignment="1">
      <alignment horizontal="center" vertical="top"/>
    </xf>
    <xf numFmtId="4" fontId="4" fillId="29" borderId="5" xfId="2" applyNumberFormat="1" applyFill="1" applyBorder="1" applyAlignment="1">
      <alignment horizontal="center" vertical="top"/>
    </xf>
    <xf numFmtId="169" fontId="4" fillId="29" borderId="5" xfId="2" applyNumberFormat="1" applyFill="1" applyBorder="1" applyAlignment="1">
      <alignment horizontal="center" vertical="top"/>
    </xf>
    <xf numFmtId="169" fontId="4" fillId="29" borderId="6" xfId="1" applyNumberFormat="1" applyFill="1" applyBorder="1" applyAlignment="1">
      <alignment horizontal="center" vertical="top"/>
    </xf>
    <xf numFmtId="4" fontId="4" fillId="21" borderId="5" xfId="2" applyNumberFormat="1" applyFill="1" applyBorder="1" applyAlignment="1">
      <alignment horizontal="center" vertical="top"/>
    </xf>
    <xf numFmtId="169" fontId="4" fillId="21" borderId="5" xfId="2" applyNumberFormat="1" applyFill="1" applyBorder="1" applyAlignment="1">
      <alignment horizontal="center" vertical="top"/>
    </xf>
    <xf numFmtId="4" fontId="4" fillId="15" borderId="4" xfId="2" applyNumberFormat="1" applyFill="1" applyBorder="1" applyAlignment="1">
      <alignment horizontal="center" vertical="top"/>
    </xf>
    <xf numFmtId="169" fontId="4" fillId="15" borderId="5" xfId="2" applyNumberFormat="1" applyFill="1" applyBorder="1" applyAlignment="1">
      <alignment horizontal="center" vertical="top"/>
    </xf>
    <xf numFmtId="4" fontId="4" fillId="30" borderId="5" xfId="2" applyNumberFormat="1" applyFill="1" applyBorder="1" applyAlignment="1">
      <alignment horizontal="center" vertical="top"/>
    </xf>
    <xf numFmtId="169" fontId="4" fillId="30" borderId="5" xfId="2" applyNumberFormat="1" applyFill="1" applyBorder="1" applyAlignment="1">
      <alignment horizontal="center" vertical="top"/>
    </xf>
    <xf numFmtId="169" fontId="4" fillId="30" borderId="6" xfId="1" applyNumberFormat="1" applyFill="1" applyBorder="1" applyAlignment="1">
      <alignment horizontal="center" vertical="top"/>
    </xf>
    <xf numFmtId="4" fontId="4" fillId="20" borderId="5" xfId="2" applyNumberFormat="1" applyFill="1" applyBorder="1" applyAlignment="1">
      <alignment horizontal="center" vertical="top"/>
    </xf>
    <xf numFmtId="169" fontId="4" fillId="20" borderId="5" xfId="2" applyNumberFormat="1" applyFill="1" applyBorder="1" applyAlignment="1">
      <alignment horizontal="center" vertical="top"/>
    </xf>
    <xf numFmtId="3" fontId="4" fillId="15" borderId="4" xfId="1" applyNumberFormat="1" applyFill="1" applyBorder="1" applyAlignment="1">
      <alignment vertical="top"/>
    </xf>
    <xf numFmtId="3" fontId="0" fillId="15" borderId="5" xfId="1" applyNumberFormat="1" applyFont="1" applyFill="1" applyBorder="1" applyAlignment="1">
      <alignment horizontal="right" vertical="top"/>
    </xf>
    <xf numFmtId="3" fontId="4" fillId="23" borderId="5" xfId="1" applyNumberFormat="1" applyFill="1" applyBorder="1" applyAlignment="1">
      <alignment horizontal="center" vertical="top"/>
    </xf>
    <xf numFmtId="4" fontId="4" fillId="30" borderId="5" xfId="1" applyNumberFormat="1" applyFill="1" applyBorder="1" applyAlignment="1">
      <alignment horizontal="center" vertical="top"/>
    </xf>
    <xf numFmtId="3" fontId="4" fillId="30" borderId="5" xfId="1" applyNumberFormat="1" applyFill="1" applyBorder="1" applyAlignment="1">
      <alignment horizontal="center" vertical="top"/>
    </xf>
    <xf numFmtId="0" fontId="4" fillId="30" borderId="6" xfId="1" applyFill="1" applyBorder="1" applyAlignment="1">
      <alignment vertical="top"/>
    </xf>
    <xf numFmtId="169" fontId="4" fillId="31" borderId="5" xfId="2" applyNumberFormat="1" applyFill="1" applyBorder="1" applyAlignment="1">
      <alignment horizontal="center" vertical="top"/>
    </xf>
    <xf numFmtId="3" fontId="4" fillId="31" borderId="5" xfId="2" applyNumberFormat="1" applyFill="1" applyBorder="1" applyAlignment="1">
      <alignment horizontal="center" vertical="top"/>
    </xf>
    <xf numFmtId="3" fontId="4" fillId="16" borderId="4" xfId="1" applyNumberFormat="1" applyFill="1" applyBorder="1" applyAlignment="1">
      <alignment vertical="top"/>
    </xf>
    <xf numFmtId="3" fontId="0" fillId="16" borderId="5" xfId="1" applyNumberFormat="1" applyFont="1" applyFill="1" applyBorder="1" applyAlignment="1">
      <alignment horizontal="right" vertical="top"/>
    </xf>
    <xf numFmtId="0" fontId="4" fillId="29" borderId="6" xfId="1" applyFill="1" applyBorder="1" applyAlignment="1">
      <alignment vertical="top"/>
    </xf>
    <xf numFmtId="3" fontId="0" fillId="13" borderId="0" xfId="1" applyNumberFormat="1" applyFont="1" applyFill="1" applyAlignment="1">
      <alignment vertical="top"/>
    </xf>
    <xf numFmtId="0" fontId="22" fillId="13" borderId="0" xfId="2" applyFont="1" applyFill="1">
      <alignment vertical="top"/>
    </xf>
    <xf numFmtId="0" fontId="4" fillId="13" borderId="0" xfId="1" applyFill="1" applyAlignment="1">
      <alignment vertical="top"/>
    </xf>
    <xf numFmtId="3" fontId="16" fillId="15" borderId="0" xfId="6" applyNumberFormat="1" applyFont="1" applyFill="1" applyAlignment="1">
      <alignment vertical="top"/>
    </xf>
    <xf numFmtId="0" fontId="22" fillId="15" borderId="0" xfId="2" applyFont="1" applyFill="1" applyAlignment="1">
      <alignment vertical="top"/>
    </xf>
    <xf numFmtId="0" fontId="4" fillId="15" borderId="0" xfId="1" applyFill="1" applyAlignment="1">
      <alignment vertical="top"/>
    </xf>
    <xf numFmtId="3" fontId="4" fillId="19" borderId="0" xfId="1" applyNumberFormat="1" applyFill="1" applyAlignment="1">
      <alignment vertical="top"/>
    </xf>
    <xf numFmtId="0" fontId="0" fillId="19" borderId="0" xfId="1" applyFont="1" applyFill="1" applyAlignment="1">
      <alignment vertical="top"/>
    </xf>
    <xf numFmtId="0" fontId="4" fillId="19" borderId="0" xfId="1" applyFill="1" applyAlignment="1">
      <alignment vertical="top"/>
    </xf>
    <xf numFmtId="3" fontId="16" fillId="30" borderId="0" xfId="6" applyNumberFormat="1" applyFont="1" applyFill="1" applyAlignment="1">
      <alignment vertical="top"/>
    </xf>
    <xf numFmtId="0" fontId="0" fillId="30" borderId="0" xfId="1" applyFont="1" applyFill="1" applyAlignment="1">
      <alignment vertical="top"/>
    </xf>
    <xf numFmtId="0" fontId="4" fillId="30" borderId="0" xfId="1" applyFill="1" applyAlignment="1">
      <alignment vertical="top"/>
    </xf>
    <xf numFmtId="3" fontId="4" fillId="14" borderId="0" xfId="6" applyNumberFormat="1" applyFont="1" applyFill="1" applyAlignment="1">
      <alignment vertical="top"/>
    </xf>
    <xf numFmtId="0" fontId="22" fillId="14" borderId="0" xfId="2" applyFont="1" applyFill="1" applyAlignment="1">
      <alignment vertical="top"/>
    </xf>
    <xf numFmtId="0" fontId="4" fillId="14" borderId="0" xfId="1" applyFill="1" applyAlignment="1">
      <alignment vertical="top"/>
    </xf>
    <xf numFmtId="3" fontId="16" fillId="20" borderId="0" xfId="6" applyNumberFormat="1" applyFont="1" applyFill="1" applyAlignment="1">
      <alignment vertical="top"/>
    </xf>
    <xf numFmtId="0" fontId="22" fillId="20" borderId="0" xfId="2" applyFont="1" applyFill="1" applyAlignment="1">
      <alignment vertical="top"/>
    </xf>
    <xf numFmtId="0" fontId="4" fillId="20" borderId="0" xfId="1" applyFill="1" applyAlignment="1">
      <alignment vertical="top"/>
    </xf>
    <xf numFmtId="0" fontId="4" fillId="0" borderId="0" xfId="1" applyFill="1" applyAlignment="1">
      <alignment horizontal="center" vertical="top"/>
    </xf>
    <xf numFmtId="0" fontId="4" fillId="0" borderId="0" xfId="1" applyAlignment="1">
      <alignment horizontal="center" vertical="top"/>
    </xf>
    <xf numFmtId="0" fontId="16" fillId="4" borderId="6" xfId="6" applyFont="1" applyFill="1" applyBorder="1" applyAlignment="1">
      <alignment horizontal="center" vertical="top" wrapText="1"/>
    </xf>
    <xf numFmtId="3" fontId="4" fillId="17" borderId="5" xfId="1" applyNumberFormat="1" applyFill="1" applyBorder="1" applyAlignment="1">
      <alignment horizontal="center" vertical="top"/>
    </xf>
    <xf numFmtId="4" fontId="4" fillId="29" borderId="5" xfId="1" applyNumberFormat="1" applyFill="1" applyBorder="1" applyAlignment="1">
      <alignment horizontal="center" vertical="top"/>
    </xf>
    <xf numFmtId="3" fontId="4" fillId="29" borderId="5" xfId="1" applyNumberFormat="1" applyFill="1" applyBorder="1" applyAlignment="1">
      <alignment horizontal="center" vertical="top"/>
    </xf>
    <xf numFmtId="3" fontId="4" fillId="21" borderId="5" xfId="2" applyNumberFormat="1" applyFill="1" applyBorder="1" applyAlignment="1">
      <alignment horizontal="center" vertical="top"/>
    </xf>
    <xf numFmtId="0" fontId="4" fillId="13" borderId="0" xfId="1" applyFill="1" applyAlignment="1">
      <alignment horizontal="center" vertical="top"/>
    </xf>
    <xf numFmtId="0" fontId="22" fillId="13" borderId="0" xfId="2" applyFont="1" applyFill="1" applyAlignment="1">
      <alignment vertical="top"/>
    </xf>
    <xf numFmtId="0" fontId="4" fillId="15" borderId="0" xfId="1" applyFill="1" applyAlignment="1">
      <alignment horizontal="center" vertical="top"/>
    </xf>
    <xf numFmtId="0" fontId="4" fillId="19" borderId="0" xfId="1" applyFill="1" applyAlignment="1">
      <alignment horizontal="center" vertical="top"/>
    </xf>
    <xf numFmtId="0" fontId="4" fillId="30" borderId="0" xfId="1" applyFill="1" applyAlignment="1">
      <alignment horizontal="center" vertical="top"/>
    </xf>
    <xf numFmtId="0" fontId="4" fillId="14" borderId="0" xfId="1" applyFill="1" applyAlignment="1">
      <alignment horizontal="center" vertical="top"/>
    </xf>
    <xf numFmtId="0" fontId="4" fillId="20" borderId="0" xfId="1" applyFill="1" applyAlignment="1">
      <alignment horizontal="center" vertical="top"/>
    </xf>
    <xf numFmtId="0" fontId="4" fillId="0" borderId="0" xfId="1" applyFont="1" applyAlignment="1">
      <alignment horizontal="right" vertical="top"/>
    </xf>
    <xf numFmtId="3" fontId="4" fillId="0" borderId="0" xfId="1" quotePrefix="1" applyNumberFormat="1" applyFont="1" applyAlignment="1">
      <alignment horizontal="center" vertical="top"/>
    </xf>
    <xf numFmtId="0" fontId="16" fillId="0" borderId="0" xfId="6" applyFont="1" applyAlignment="1">
      <alignment horizontal="left" vertical="top"/>
    </xf>
    <xf numFmtId="0" fontId="4" fillId="0" borderId="0" xfId="1" applyFont="1" applyAlignment="1">
      <alignment horizontal="center" vertical="top"/>
    </xf>
    <xf numFmtId="10" fontId="4" fillId="0" borderId="0" xfId="1" applyNumberFormat="1" applyFont="1" applyAlignment="1">
      <alignment horizontal="center" vertical="top"/>
    </xf>
    <xf numFmtId="4" fontId="4" fillId="0" borderId="0" xfId="1" applyNumberFormat="1" applyFont="1" applyAlignment="1">
      <alignment horizontal="center" vertical="top"/>
    </xf>
    <xf numFmtId="169" fontId="6" fillId="7" borderId="7" xfId="0" applyNumberFormat="1" applyFont="1" applyFill="1" applyBorder="1" applyAlignment="1">
      <alignment horizontal="center" vertical="top" wrapText="1"/>
    </xf>
    <xf numFmtId="3" fontId="6" fillId="32" borderId="8" xfId="0" applyNumberFormat="1" applyFont="1" applyFill="1" applyBorder="1" applyAlignment="1">
      <alignment horizontal="center" vertical="top" wrapText="1"/>
    </xf>
    <xf numFmtId="3" fontId="6" fillId="7" borderId="8" xfId="0" applyNumberFormat="1" applyFont="1" applyFill="1" applyBorder="1" applyAlignment="1">
      <alignment horizontal="center" vertical="top" wrapText="1"/>
    </xf>
    <xf numFmtId="3" fontId="6" fillId="7" borderId="9" xfId="0" applyNumberFormat="1" applyFont="1" applyFill="1" applyBorder="1" applyAlignment="1">
      <alignment horizontal="center" vertical="top" wrapText="1"/>
    </xf>
    <xf numFmtId="169" fontId="6" fillId="31" borderId="7" xfId="0" applyNumberFormat="1" applyFont="1" applyFill="1" applyBorder="1" applyAlignment="1">
      <alignment horizontal="center" vertical="top"/>
    </xf>
    <xf numFmtId="170" fontId="6" fillId="31" borderId="8" xfId="0" applyNumberFormat="1" applyFont="1" applyFill="1" applyBorder="1" applyAlignment="1">
      <alignment horizontal="center" vertical="top"/>
    </xf>
    <xf numFmtId="171" fontId="6" fillId="31" borderId="8" xfId="0" applyNumberFormat="1" applyFont="1" applyFill="1" applyBorder="1" applyAlignment="1">
      <alignment horizontal="center" vertical="top"/>
    </xf>
    <xf numFmtId="3" fontId="6" fillId="31" borderId="8" xfId="0" applyNumberFormat="1" applyFont="1" applyFill="1" applyBorder="1" applyAlignment="1">
      <alignment horizontal="center" vertical="top"/>
    </xf>
    <xf numFmtId="169" fontId="6" fillId="31" borderId="8" xfId="0" applyNumberFormat="1" applyFont="1" applyFill="1" applyBorder="1" applyAlignment="1">
      <alignment horizontal="center" vertical="top"/>
    </xf>
    <xf numFmtId="9" fontId="6" fillId="31" borderId="8" xfId="0" applyNumberFormat="1" applyFont="1" applyFill="1" applyBorder="1" applyAlignment="1">
      <alignment horizontal="center" vertical="top"/>
    </xf>
    <xf numFmtId="170" fontId="6" fillId="31" borderId="9" xfId="0" applyNumberFormat="1" applyFont="1" applyFill="1" applyBorder="1" applyAlignment="1">
      <alignment horizontal="center" vertical="top"/>
    </xf>
    <xf numFmtId="169" fontId="6" fillId="4" borderId="7" xfId="0" applyNumberFormat="1" applyFont="1" applyFill="1" applyBorder="1" applyAlignment="1">
      <alignment horizontal="center" vertical="top"/>
    </xf>
    <xf numFmtId="170" fontId="6" fillId="4" borderId="8" xfId="0" applyNumberFormat="1" applyFont="1" applyFill="1" applyBorder="1" applyAlignment="1">
      <alignment horizontal="center" vertical="top"/>
    </xf>
    <xf numFmtId="171" fontId="6" fillId="4" borderId="8" xfId="0" applyNumberFormat="1" applyFont="1" applyFill="1" applyBorder="1" applyAlignment="1">
      <alignment horizontal="center" vertical="top"/>
    </xf>
    <xf numFmtId="3" fontId="6" fillId="4" borderId="8" xfId="0" applyNumberFormat="1" applyFont="1" applyFill="1" applyBorder="1" applyAlignment="1">
      <alignment horizontal="center" vertical="top"/>
    </xf>
    <xf numFmtId="169" fontId="6" fillId="4" borderId="8" xfId="0" applyNumberFormat="1" applyFont="1" applyFill="1" applyBorder="1" applyAlignment="1">
      <alignment horizontal="center" vertical="top"/>
    </xf>
    <xf numFmtId="9" fontId="6" fillId="4" borderId="8" xfId="0" applyNumberFormat="1" applyFont="1" applyFill="1" applyBorder="1" applyAlignment="1">
      <alignment horizontal="center" vertical="top"/>
    </xf>
    <xf numFmtId="170" fontId="6" fillId="4" borderId="9" xfId="0" applyNumberFormat="1" applyFont="1" applyFill="1" applyBorder="1" applyAlignment="1">
      <alignment horizontal="center" vertical="top"/>
    </xf>
    <xf numFmtId="0" fontId="6" fillId="0" borderId="0" xfId="0" applyFont="1" applyFill="1" applyAlignment="1">
      <alignment vertical="top"/>
    </xf>
    <xf numFmtId="3" fontId="1" fillId="0" borderId="0" xfId="3" applyNumberFormat="1" applyFont="1" applyAlignment="1">
      <alignment horizontal="left" vertical="top"/>
    </xf>
    <xf numFmtId="0" fontId="16" fillId="0" borderId="0" xfId="4" applyAlignment="1">
      <alignment horizontal="center" vertical="top"/>
    </xf>
    <xf numFmtId="0" fontId="9" fillId="0" borderId="0" xfId="0" applyFont="1" applyAlignment="1">
      <alignment horizontal="center"/>
    </xf>
    <xf numFmtId="9" fontId="9" fillId="0" borderId="0" xfId="0" applyNumberFormat="1" applyFont="1" applyAlignment="1">
      <alignment horizontal="center"/>
    </xf>
    <xf numFmtId="3" fontId="14" fillId="8" borderId="0" xfId="1" applyNumberFormat="1" applyFont="1" applyFill="1" applyBorder="1" applyAlignment="1">
      <alignment horizontal="left" vertical="top"/>
    </xf>
    <xf numFmtId="0" fontId="6" fillId="0" borderId="0" xfId="0" applyFont="1" applyFill="1" applyAlignment="1">
      <alignment vertical="top" wrapText="1"/>
    </xf>
    <xf numFmtId="0" fontId="14" fillId="8" borderId="0" xfId="0" applyFont="1" applyFill="1" applyAlignment="1">
      <alignment vertical="top"/>
    </xf>
    <xf numFmtId="0" fontId="8" fillId="0" borderId="0" xfId="2" applyFont="1" applyFill="1" applyAlignment="1">
      <alignment horizontal="left" vertical="top" wrapText="1"/>
    </xf>
  </cellXfs>
  <cellStyles count="7">
    <cellStyle name="Followed Hyperlink" xfId="5" builtinId="9" customBuiltin="1"/>
    <cellStyle name="Hyperlink" xfId="4" builtinId="8" customBuiltin="1"/>
    <cellStyle name="Hyperlink 2" xfId="6"/>
    <cellStyle name="Normal" xfId="0" builtinId="0"/>
    <cellStyle name="Normal 2" xfId="2"/>
    <cellStyle name="Normal 3" xfId="3"/>
    <cellStyle name="Normal_Blank Engineering Calculation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6.xml"/><Relationship Id="rId18" Type="http://schemas.openxmlformats.org/officeDocument/2006/relationships/chartsheet" Target="chartsheets/sheet9.xml"/><Relationship Id="rId26" Type="http://schemas.openxmlformats.org/officeDocument/2006/relationships/worksheet" Target="worksheets/sheet15.xml"/><Relationship Id="rId3" Type="http://schemas.openxmlformats.org/officeDocument/2006/relationships/worksheet" Target="worksheets/sheet3.xml"/><Relationship Id="rId21" Type="http://schemas.openxmlformats.org/officeDocument/2006/relationships/chartsheet" Target="chartsheets/sheet10.xml"/><Relationship Id="rId34" Type="http://schemas.openxmlformats.org/officeDocument/2006/relationships/externalLink" Target="externalLinks/externalLink2.xml"/><Relationship Id="rId7" Type="http://schemas.openxmlformats.org/officeDocument/2006/relationships/worksheet" Target="worksheets/sheet5.xml"/><Relationship Id="rId12" Type="http://schemas.openxmlformats.org/officeDocument/2006/relationships/chartsheet" Target="chartsheets/sheet5.xml"/><Relationship Id="rId17" Type="http://schemas.openxmlformats.org/officeDocument/2006/relationships/worksheet" Target="worksheets/sheet9.xml"/><Relationship Id="rId25" Type="http://schemas.openxmlformats.org/officeDocument/2006/relationships/worksheet" Target="worksheets/sheet14.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hartsheet" Target="chartsheets/sheet8.xml"/><Relationship Id="rId20" Type="http://schemas.openxmlformats.org/officeDocument/2006/relationships/worksheet" Target="worksheets/sheet11.xml"/><Relationship Id="rId29" Type="http://schemas.openxmlformats.org/officeDocument/2006/relationships/worksheet" Target="worksheets/sheet17.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7.xml"/><Relationship Id="rId24" Type="http://schemas.openxmlformats.org/officeDocument/2006/relationships/chartsheet" Target="chartsheets/sheet11.xml"/><Relationship Id="rId32" Type="http://schemas.openxmlformats.org/officeDocument/2006/relationships/chartsheet" Target="chartsheets/sheet14.xml"/><Relationship Id="rId37" Type="http://schemas.openxmlformats.org/officeDocument/2006/relationships/sharedStrings" Target="sharedStrings.xml"/><Relationship Id="rId5" Type="http://schemas.openxmlformats.org/officeDocument/2006/relationships/chartsheet" Target="chartsheets/sheet1.xml"/><Relationship Id="rId15" Type="http://schemas.openxmlformats.org/officeDocument/2006/relationships/worksheet" Target="worksheets/sheet8.xml"/><Relationship Id="rId23" Type="http://schemas.openxmlformats.org/officeDocument/2006/relationships/worksheet" Target="worksheets/sheet13.xml"/><Relationship Id="rId28" Type="http://schemas.openxmlformats.org/officeDocument/2006/relationships/worksheet" Target="worksheets/sheet16.xml"/><Relationship Id="rId36" Type="http://schemas.openxmlformats.org/officeDocument/2006/relationships/styles" Target="styles.xml"/><Relationship Id="rId10" Type="http://schemas.openxmlformats.org/officeDocument/2006/relationships/chartsheet" Target="chartsheets/sheet4.xml"/><Relationship Id="rId19" Type="http://schemas.openxmlformats.org/officeDocument/2006/relationships/worksheet" Target="worksheets/sheet10.xml"/><Relationship Id="rId31"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chartsheet" Target="chartsheets/sheet7.xml"/><Relationship Id="rId22" Type="http://schemas.openxmlformats.org/officeDocument/2006/relationships/worksheet" Target="worksheets/sheet12.xml"/><Relationship Id="rId27" Type="http://schemas.openxmlformats.org/officeDocument/2006/relationships/chartsheet" Target="chartsheets/sheet12.xml"/><Relationship Id="rId30" Type="http://schemas.openxmlformats.org/officeDocument/2006/relationships/chartsheet" Target="chartsheets/sheet13.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05FE-4AC0-B520-4EB5C5FA953A}"/>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05FE-4AC0-B520-4EB5C5FA953A}"/>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05FE-4AC0-B520-4EB5C5FA953A}"/>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05FE-4AC0-B520-4EB5C5FA953A}"/>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05FE-4AC0-B520-4EB5C5FA953A}"/>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05FE-4AC0-B520-4EB5C5FA953A}"/>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05FE-4AC0-B520-4EB5C5FA953A}"/>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05FE-4AC0-B520-4EB5C5FA953A}"/>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05FE-4AC0-B520-4EB5C5FA953A}"/>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05FE-4AC0-B520-4EB5C5FA953A}"/>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05FE-4AC0-B520-4EB5C5FA953A}"/>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05FE-4AC0-B520-4EB5C5FA953A}"/>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05FE-4AC0-B520-4EB5C5FA953A}"/>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05FE-4AC0-B520-4EB5C5FA953A}"/>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05FE-4AC0-B520-4EB5C5FA953A}"/>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05FE-4AC0-B520-4EB5C5FA953A}"/>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05FE-4AC0-B520-4EB5C5FA953A}"/>
            </c:ext>
          </c:extLst>
        </c:ser>
        <c:ser>
          <c:idx val="0"/>
          <c:order val="17"/>
          <c:tx>
            <c:strRef>
              <c:f>'Impeller 6G 1150'!$O$6:$P$6</c:f>
              <c:strCache>
                <c:ptCount val="1"/>
                <c:pt idx="0">
                  <c:v>13.5 Inch</c:v>
                </c:pt>
              </c:strCache>
            </c:strRef>
          </c:tx>
          <c:spPr>
            <a:ln w="25400" cap="rnd">
              <a:solidFill>
                <a:schemeClr val="tx1"/>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05FE-4AC0-B520-4EB5C5FA953A}"/>
            </c:ext>
          </c:extLst>
        </c:ser>
        <c:ser>
          <c:idx val="1"/>
          <c:order val="18"/>
          <c:tx>
            <c:strRef>
              <c:f>'Impeller 6G 1150'!$A$6:$B$6</c:f>
              <c:strCache>
                <c:ptCount val="1"/>
                <c:pt idx="0">
                  <c:v>10 Inch</c:v>
                </c:pt>
              </c:strCache>
            </c:strRef>
          </c:tx>
          <c:spPr>
            <a:ln w="25400" cap="rnd">
              <a:solidFill>
                <a:schemeClr val="tx1"/>
              </a:solidFill>
              <a:round/>
            </a:ln>
            <a:effectLst/>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12-05FE-4AC0-B520-4EB5C5FA953A}"/>
            </c:ext>
          </c:extLst>
        </c:ser>
        <c:ser>
          <c:idx val="13"/>
          <c:order val="19"/>
          <c:tx>
            <c:strRef>
              <c:f>'Impeller 6G 1150'!$C$6:$D$6</c:f>
              <c:strCache>
                <c:ptCount val="1"/>
                <c:pt idx="0">
                  <c:v>10.5 Inch</c:v>
                </c:pt>
              </c:strCache>
            </c:strRef>
          </c:tx>
          <c:spPr>
            <a:ln w="25400" cap="rnd">
              <a:solidFill>
                <a:schemeClr val="tx1"/>
              </a:solidFill>
              <a:round/>
            </a:ln>
            <a:effectLst/>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13-05FE-4AC0-B520-4EB5C5FA953A}"/>
            </c:ext>
          </c:extLst>
        </c:ser>
        <c:ser>
          <c:idx val="14"/>
          <c:order val="20"/>
          <c:tx>
            <c:strRef>
              <c:f>'Impeller 6G 1150'!$E$6:$F$6</c:f>
              <c:strCache>
                <c:ptCount val="1"/>
                <c:pt idx="0">
                  <c:v>11 Inch</c:v>
                </c:pt>
              </c:strCache>
            </c:strRef>
          </c:tx>
          <c:spPr>
            <a:ln w="25400" cap="rnd">
              <a:solidFill>
                <a:schemeClr val="tx1"/>
              </a:solidFill>
              <a:round/>
            </a:ln>
            <a:effectLst/>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14-05FE-4AC0-B520-4EB5C5FA953A}"/>
            </c:ext>
          </c:extLst>
        </c:ser>
        <c:ser>
          <c:idx val="15"/>
          <c:order val="21"/>
          <c:tx>
            <c:strRef>
              <c:f>'Impeller 6G 1150'!$G$6:$H$6</c:f>
              <c:strCache>
                <c:ptCount val="1"/>
                <c:pt idx="0">
                  <c:v>11.5 Inch</c:v>
                </c:pt>
              </c:strCache>
            </c:strRef>
          </c:tx>
          <c:spPr>
            <a:ln w="25400" cap="rnd">
              <a:solidFill>
                <a:schemeClr val="tx1"/>
              </a:solidFill>
              <a:round/>
            </a:ln>
            <a:effectLst/>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15-05FE-4AC0-B520-4EB5C5FA953A}"/>
            </c:ext>
          </c:extLst>
        </c:ser>
        <c:ser>
          <c:idx val="22"/>
          <c:order val="22"/>
          <c:tx>
            <c:strRef>
              <c:f>'Impeller 6G 1150'!$I$6:$J$6</c:f>
              <c:strCache>
                <c:ptCount val="1"/>
                <c:pt idx="0">
                  <c:v>12 Inch</c:v>
                </c:pt>
              </c:strCache>
            </c:strRef>
          </c:tx>
          <c:spPr>
            <a:ln w="25400" cap="rnd">
              <a:solidFill>
                <a:schemeClr val="tx1"/>
              </a:solidFill>
              <a:round/>
            </a:ln>
            <a:effectLst/>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16-05FE-4AC0-B520-4EB5C5FA953A}"/>
            </c:ext>
          </c:extLst>
        </c:ser>
        <c:ser>
          <c:idx val="23"/>
          <c:order val="23"/>
          <c:tx>
            <c:strRef>
              <c:f>'Impeller 6G 1150'!$K$6:$L$6</c:f>
              <c:strCache>
                <c:ptCount val="1"/>
                <c:pt idx="0">
                  <c:v>12.5 Inch</c:v>
                </c:pt>
              </c:strCache>
            </c:strRef>
          </c:tx>
          <c:spPr>
            <a:ln w="25400" cap="rnd">
              <a:solidFill>
                <a:schemeClr val="tx1"/>
              </a:solidFill>
              <a:round/>
            </a:ln>
            <a:effectLst/>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17-05FE-4AC0-B520-4EB5C5FA953A}"/>
            </c:ext>
          </c:extLst>
        </c:ser>
        <c:ser>
          <c:idx val="24"/>
          <c:order val="24"/>
          <c:tx>
            <c:strRef>
              <c:f>'Impeller 6G 1150'!$M$6:$N$6</c:f>
              <c:strCache>
                <c:ptCount val="1"/>
                <c:pt idx="0">
                  <c:v>13 Inch</c:v>
                </c:pt>
              </c:strCache>
            </c:strRef>
          </c:tx>
          <c:spPr>
            <a:ln w="25400" cap="rnd">
              <a:solidFill>
                <a:schemeClr val="tx1"/>
              </a:solidFill>
              <a:round/>
            </a:ln>
            <a:effectLst/>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18-05FE-4AC0-B520-4EB5C5FA953A}"/>
            </c:ext>
          </c:extLst>
        </c:ser>
        <c:dLbls>
          <c:showLegendKey val="0"/>
          <c:showVal val="0"/>
          <c:showCatName val="0"/>
          <c:showSerName val="0"/>
          <c:showPercent val="0"/>
          <c:showBubbleSize val="0"/>
        </c:dLbls>
        <c:axId val="1025880376"/>
        <c:axId val="1025869792"/>
      </c:scatterChart>
      <c:valAx>
        <c:axId val="1025880376"/>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69792"/>
        <c:crosses val="autoZero"/>
        <c:crossBetween val="midCat"/>
        <c:majorUnit val="500"/>
        <c:minorUnit val="100"/>
      </c:valAx>
      <c:valAx>
        <c:axId val="1025869792"/>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0376"/>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03F7-4996-9650-E9D5C531A9C5}"/>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03F7-4996-9650-E9D5C531A9C5}"/>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03F7-4996-9650-E9D5C531A9C5}"/>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03F7-4996-9650-E9D5C531A9C5}"/>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03F7-4996-9650-E9D5C531A9C5}"/>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03F7-4996-9650-E9D5C531A9C5}"/>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03F7-4996-9650-E9D5C531A9C5}"/>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03F7-4996-9650-E9D5C531A9C5}"/>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03F7-4996-9650-E9D5C531A9C5}"/>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03F7-4996-9650-E9D5C531A9C5}"/>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03F7-4996-9650-E9D5C531A9C5}"/>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03F7-4996-9650-E9D5C531A9C5}"/>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03F7-4996-9650-E9D5C531A9C5}"/>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03F7-4996-9650-E9D5C531A9C5}"/>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03F7-4996-9650-E9D5C531A9C5}"/>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03F7-4996-9650-E9D5C531A9C5}"/>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03F7-4996-9650-E9D5C531A9C5}"/>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03F7-4996-9650-E9D5C531A9C5}"/>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03F7-4996-9650-E9D5C531A9C5}"/>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03F7-4996-9650-E9D5C531A9C5}"/>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03F7-4996-9650-E9D5C531A9C5}"/>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03F7-4996-9650-E9D5C531A9C5}"/>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'50 Pct'!$C$10</c:f>
              <c:numCache>
                <c:formatCode>#,##0</c:formatCode>
                <c:ptCount val="1"/>
                <c:pt idx="0">
                  <c:v>650</c:v>
                </c:pt>
              </c:numCache>
            </c:numRef>
          </c:xVal>
          <c:yVal>
            <c:numRef>
              <c:f>'50 Pct'!$C$11</c:f>
              <c:numCache>
                <c:formatCode>0.00</c:formatCode>
                <c:ptCount val="1"/>
                <c:pt idx="0">
                  <c:v>70</c:v>
                </c:pt>
              </c:numCache>
            </c:numRef>
          </c:yVal>
          <c:smooth val="1"/>
          <c:extLst>
            <c:ext xmlns:c16="http://schemas.microsoft.com/office/drawing/2014/chart" uri="{C3380CC4-5D6E-409C-BE32-E72D297353CC}">
              <c16:uniqueId val="{00000016-03F7-4996-9650-E9D5C531A9C5}"/>
            </c:ext>
          </c:extLst>
        </c:ser>
        <c:ser>
          <c:idx val="24"/>
          <c:order val="23"/>
          <c:tx>
            <c:v>50% Head</c:v>
          </c:tx>
          <c:spPr>
            <a:ln w="12700" cap="rnd">
              <a:solidFill>
                <a:srgbClr val="00B0F0"/>
              </a:solidFill>
              <a:prstDash val="dash"/>
              <a:round/>
            </a:ln>
            <a:effectLst/>
          </c:spPr>
          <c:marker>
            <c:symbol val="none"/>
          </c:marker>
          <c:xVal>
            <c:numRef>
              <c:f>'50 Pct'!$C$43:$C$44</c:f>
              <c:numCache>
                <c:formatCode>#,##0</c:formatCode>
                <c:ptCount val="2"/>
                <c:pt idx="0">
                  <c:v>2500</c:v>
                </c:pt>
                <c:pt idx="1">
                  <c:v>0</c:v>
                </c:pt>
              </c:numCache>
            </c:numRef>
          </c:xVal>
          <c:yVal>
            <c:numRef>
              <c:f>'50 Pct'!$D$43:$D$44</c:f>
              <c:numCache>
                <c:formatCode>0.00</c:formatCode>
                <c:ptCount val="2"/>
                <c:pt idx="0">
                  <c:v>70</c:v>
                </c:pt>
                <c:pt idx="1">
                  <c:v>70</c:v>
                </c:pt>
              </c:numCache>
            </c:numRef>
          </c:yVal>
          <c:smooth val="1"/>
          <c:extLst>
            <c:ext xmlns:c16="http://schemas.microsoft.com/office/drawing/2014/chart" uri="{C3380CC4-5D6E-409C-BE32-E72D297353CC}">
              <c16:uniqueId val="{00000017-03F7-4996-9650-E9D5C531A9C5}"/>
            </c:ext>
          </c:extLst>
        </c:ser>
        <c:ser>
          <c:idx val="25"/>
          <c:order val="24"/>
          <c:tx>
            <c:v>50%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03F7-4996-9650-E9D5C531A9C5}"/>
              </c:ext>
            </c:extLst>
          </c:dPt>
          <c:xVal>
            <c:numRef>
              <c:f>'50 Pct'!$C$45:$C$46</c:f>
              <c:numCache>
                <c:formatCode>#,##0</c:formatCode>
                <c:ptCount val="2"/>
                <c:pt idx="0">
                  <c:v>650</c:v>
                </c:pt>
                <c:pt idx="1">
                  <c:v>650</c:v>
                </c:pt>
              </c:numCache>
            </c:numRef>
          </c:xVal>
          <c:yVal>
            <c:numRef>
              <c:f>'50 Pct'!$D$45:$D$46</c:f>
              <c:numCache>
                <c:formatCode>0.00</c:formatCode>
                <c:ptCount val="2"/>
                <c:pt idx="0">
                  <c:v>90</c:v>
                </c:pt>
                <c:pt idx="1">
                  <c:v>0</c:v>
                </c:pt>
              </c:numCache>
            </c:numRef>
          </c:yVal>
          <c:smooth val="1"/>
          <c:extLst>
            <c:ext xmlns:c16="http://schemas.microsoft.com/office/drawing/2014/chart" uri="{C3380CC4-5D6E-409C-BE32-E72D297353CC}">
              <c16:uniqueId val="{0000001A-03F7-4996-9650-E9D5C531A9C5}"/>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03F7-4996-9650-E9D5C531A9C5}"/>
            </c:ext>
          </c:extLst>
        </c:ser>
        <c:ser>
          <c:idx val="1"/>
          <c:order val="26"/>
          <c:tx>
            <c:v>50% System Curve</c:v>
          </c:tx>
          <c:spPr>
            <a:ln w="25400" cap="rnd">
              <a:solidFill>
                <a:srgbClr val="00B0F0"/>
              </a:solidFill>
              <a:round/>
            </a:ln>
            <a:effectLst/>
          </c:spPr>
          <c:marker>
            <c:symbol val="none"/>
          </c:marker>
          <c:xVal>
            <c:numRef>
              <c:f>'50 Pct'!$C$23:$C$40</c:f>
              <c:numCache>
                <c:formatCode>#,##0</c:formatCode>
                <c:ptCount val="18"/>
                <c:pt idx="0">
                  <c:v>1040</c:v>
                </c:pt>
                <c:pt idx="1">
                  <c:v>780</c:v>
                </c:pt>
                <c:pt idx="2">
                  <c:v>650</c:v>
                </c:pt>
                <c:pt idx="3">
                  <c:v>520</c:v>
                </c:pt>
                <c:pt idx="4">
                  <c:v>390</c:v>
                </c:pt>
                <c:pt idx="5">
                  <c:v>260</c:v>
                </c:pt>
                <c:pt idx="6">
                  <c:v>195</c:v>
                </c:pt>
                <c:pt idx="7">
                  <c:v>130</c:v>
                </c:pt>
                <c:pt idx="8">
                  <c:v>117</c:v>
                </c:pt>
                <c:pt idx="9">
                  <c:v>104</c:v>
                </c:pt>
                <c:pt idx="10">
                  <c:v>91.000000000000014</c:v>
                </c:pt>
                <c:pt idx="11">
                  <c:v>78</c:v>
                </c:pt>
                <c:pt idx="12">
                  <c:v>65</c:v>
                </c:pt>
                <c:pt idx="13">
                  <c:v>52</c:v>
                </c:pt>
                <c:pt idx="14">
                  <c:v>39</c:v>
                </c:pt>
                <c:pt idx="15">
                  <c:v>15.6</c:v>
                </c:pt>
                <c:pt idx="16">
                  <c:v>7.8</c:v>
                </c:pt>
                <c:pt idx="17">
                  <c:v>0</c:v>
                </c:pt>
              </c:numCache>
            </c:numRef>
          </c:xVal>
          <c:yVal>
            <c:numRef>
              <c:f>'50 Pct'!$D$23:$D$40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03F7-4996-9650-E9D5C531A9C5}"/>
            </c:ext>
          </c:extLst>
        </c:ser>
        <c:ser>
          <c:idx val="27"/>
          <c:order val="27"/>
          <c:tx>
            <c:v>50%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'50 Pct'!$C$51</c:f>
              <c:numCache>
                <c:formatCode>#,##0</c:formatCode>
                <c:ptCount val="1"/>
                <c:pt idx="0">
                  <c:v>687</c:v>
                </c:pt>
              </c:numCache>
            </c:numRef>
          </c:xVal>
          <c:yVal>
            <c:numRef>
              <c:f>'50 Pct'!$D$49</c:f>
              <c:numCache>
                <c:formatCode>0.00</c:formatCode>
                <c:ptCount val="1"/>
                <c:pt idx="0">
                  <c:v>78</c:v>
                </c:pt>
              </c:numCache>
            </c:numRef>
          </c:yVal>
          <c:smooth val="1"/>
          <c:extLst>
            <c:ext xmlns:c16="http://schemas.microsoft.com/office/drawing/2014/chart" uri="{C3380CC4-5D6E-409C-BE32-E72D297353CC}">
              <c16:uniqueId val="{0000001D-03F7-4996-9650-E9D5C531A9C5}"/>
            </c:ext>
          </c:extLst>
        </c:ser>
        <c:ser>
          <c:idx val="28"/>
          <c:order val="28"/>
          <c:tx>
            <c:v>50% Impeller Curve Flow</c:v>
          </c:tx>
          <c:spPr>
            <a:ln w="12700" cap="rnd">
              <a:solidFill>
                <a:schemeClr val="accent4"/>
              </a:solidFill>
              <a:prstDash val="dash"/>
              <a:round/>
            </a:ln>
            <a:effectLst/>
          </c:spPr>
          <c:marker>
            <c:symbol val="none"/>
          </c:marker>
          <c:xVal>
            <c:numRef>
              <c:f>'50 Pct'!$C$51:$C$52</c:f>
              <c:numCache>
                <c:formatCode>#,##0</c:formatCode>
                <c:ptCount val="2"/>
                <c:pt idx="0">
                  <c:v>687</c:v>
                </c:pt>
                <c:pt idx="1">
                  <c:v>687</c:v>
                </c:pt>
              </c:numCache>
            </c:numRef>
          </c:xVal>
          <c:yVal>
            <c:numRef>
              <c:f>'50 Pct'!$D$51:$D$52</c:f>
              <c:numCache>
                <c:formatCode>0.00</c:formatCode>
                <c:ptCount val="2"/>
                <c:pt idx="0">
                  <c:v>90</c:v>
                </c:pt>
                <c:pt idx="1">
                  <c:v>0</c:v>
                </c:pt>
              </c:numCache>
            </c:numRef>
          </c:yVal>
          <c:smooth val="1"/>
          <c:extLst>
            <c:ext xmlns:c16="http://schemas.microsoft.com/office/drawing/2014/chart" uri="{C3380CC4-5D6E-409C-BE32-E72D297353CC}">
              <c16:uniqueId val="{0000001E-03F7-4996-9650-E9D5C531A9C5}"/>
            </c:ext>
          </c:extLst>
        </c:ser>
        <c:ser>
          <c:idx val="29"/>
          <c:order val="29"/>
          <c:tx>
            <c:v>50% Impeller Curve Head</c:v>
          </c:tx>
          <c:spPr>
            <a:ln w="12700" cap="rnd">
              <a:solidFill>
                <a:schemeClr val="accent4"/>
              </a:solidFill>
              <a:prstDash val="dash"/>
              <a:round/>
            </a:ln>
            <a:effectLst/>
          </c:spPr>
          <c:marker>
            <c:symbol val="none"/>
          </c:marker>
          <c:xVal>
            <c:numRef>
              <c:f>'50 Pct'!$C$49:$C$50</c:f>
              <c:numCache>
                <c:formatCode>#,##0</c:formatCode>
                <c:ptCount val="2"/>
                <c:pt idx="0">
                  <c:v>2500</c:v>
                </c:pt>
                <c:pt idx="1">
                  <c:v>0</c:v>
                </c:pt>
              </c:numCache>
            </c:numRef>
          </c:xVal>
          <c:yVal>
            <c:numRef>
              <c:f>'50 Pct'!$D$49:$D$50</c:f>
              <c:numCache>
                <c:formatCode>0.00</c:formatCode>
                <c:ptCount val="2"/>
                <c:pt idx="0">
                  <c:v>78</c:v>
                </c:pt>
                <c:pt idx="1">
                  <c:v>78</c:v>
                </c:pt>
              </c:numCache>
            </c:numRef>
          </c:yVal>
          <c:smooth val="1"/>
          <c:extLst>
            <c:ext xmlns:c16="http://schemas.microsoft.com/office/drawing/2014/chart" uri="{C3380CC4-5D6E-409C-BE32-E72D297353CC}">
              <c16:uniqueId val="{0000001F-03F7-4996-9650-E9D5C531A9C5}"/>
            </c:ext>
          </c:extLst>
        </c:ser>
        <c:ser>
          <c:idx val="30"/>
          <c:order val="30"/>
          <c:tx>
            <c:v>50% Speed Tweaked</c:v>
          </c:tx>
          <c:spPr>
            <a:ln w="25400" cap="rnd">
              <a:solidFill>
                <a:srgbClr val="00B0F0"/>
              </a:solidFill>
              <a:prstDash val="lgDash"/>
              <a:round/>
            </a:ln>
            <a:effectLst/>
          </c:spPr>
          <c:marker>
            <c:symbol val="none"/>
          </c:marker>
          <c:xVal>
            <c:numRef>
              <c:f>'50 Pct Speed Estimate Tweak'!$C$74:$C$97</c:f>
              <c:numCache>
                <c:formatCode>#,##0</c:formatCode>
                <c:ptCount val="24"/>
                <c:pt idx="0">
                  <c:v>9.2440351876463522E-10</c:v>
                </c:pt>
                <c:pt idx="1">
                  <c:v>93.399882728941193</c:v>
                </c:pt>
                <c:pt idx="2">
                  <c:v>186.79976545788239</c:v>
                </c:pt>
                <c:pt idx="3">
                  <c:v>278.92027371685339</c:v>
                </c:pt>
                <c:pt idx="4">
                  <c:v>371.0407819758243</c:v>
                </c:pt>
                <c:pt idx="5">
                  <c:v>464.44066470476554</c:v>
                </c:pt>
                <c:pt idx="6">
                  <c:v>556.56117296373645</c:v>
                </c:pt>
                <c:pt idx="7">
                  <c:v>649.96105569267763</c:v>
                </c:pt>
                <c:pt idx="8">
                  <c:v>740.8021894816784</c:v>
                </c:pt>
                <c:pt idx="9">
                  <c:v>835.48144668058978</c:v>
                </c:pt>
                <c:pt idx="10">
                  <c:v>923.76383152965002</c:v>
                </c:pt>
                <c:pt idx="11">
                  <c:v>1018.4430887285614</c:v>
                </c:pt>
                <c:pt idx="12">
                  <c:v>1110.5598993734575</c:v>
                </c:pt>
                <c:pt idx="13">
                  <c:v>1203.9616309094361</c:v>
                </c:pt>
                <c:pt idx="14">
                  <c:v>1296.0876855895194</c:v>
                </c:pt>
                <c:pt idx="15">
                  <c:v>1388.2044962344155</c:v>
                </c:pt>
                <c:pt idx="16">
                  <c:v>1479.0456300234162</c:v>
                </c:pt>
                <c:pt idx="17">
                  <c:v>1522.5480596164798</c:v>
                </c:pt>
                <c:pt idx="18">
                  <c:v>1571.1624406683122</c:v>
                </c:pt>
                <c:pt idx="19">
                  <c:v>1655.6067021074614</c:v>
                </c:pt>
                <c:pt idx="20">
                  <c:v>1708.0666017973545</c:v>
                </c:pt>
                <c:pt idx="21">
                  <c:v>1759.2415805961646</c:v>
                </c:pt>
                <c:pt idx="22">
                  <c:v>1801.4683333333332</c:v>
                </c:pt>
                <c:pt idx="23">
                  <c:v>1861.6007822289728</c:v>
                </c:pt>
              </c:numCache>
            </c:numRef>
          </c:xVal>
          <c:yVal>
            <c:numRef>
              <c:f>'50 Pct Speed Estimate Tweak'!$E$74:$E$97</c:f>
              <c:numCache>
                <c:formatCode>#,##0</c:formatCode>
                <c:ptCount val="24"/>
                <c:pt idx="0">
                  <c:v>71.376758738414438</c:v>
                </c:pt>
                <c:pt idx="1">
                  <c:v>71.459989168114546</c:v>
                </c:pt>
                <c:pt idx="2">
                  <c:v>71.376758738414424</c:v>
                </c:pt>
                <c:pt idx="3">
                  <c:v>71.293442856527776</c:v>
                </c:pt>
                <c:pt idx="4">
                  <c:v>71.126896544940948</c:v>
                </c:pt>
                <c:pt idx="5">
                  <c:v>70.793718469580767</c:v>
                </c:pt>
                <c:pt idx="6">
                  <c:v>70.460540394220587</c:v>
                </c:pt>
                <c:pt idx="7">
                  <c:v>70.127447771046931</c:v>
                </c:pt>
                <c:pt idx="8">
                  <c:v>69.794269695686765</c:v>
                </c:pt>
                <c:pt idx="9">
                  <c:v>69.21122942685308</c:v>
                </c:pt>
                <c:pt idx="10">
                  <c:v>68.378412416732459</c:v>
                </c:pt>
                <c:pt idx="11">
                  <c:v>66.962555137778153</c:v>
                </c:pt>
                <c:pt idx="12">
                  <c:v>65.296835665350358</c:v>
                </c:pt>
                <c:pt idx="13">
                  <c:v>63.29793811756236</c:v>
                </c:pt>
                <c:pt idx="14">
                  <c:v>61.132494258187563</c:v>
                </c:pt>
                <c:pt idx="15">
                  <c:v>58.550556441565909</c:v>
                </c:pt>
                <c:pt idx="16">
                  <c:v>55.219117496710304</c:v>
                </c:pt>
                <c:pt idx="17">
                  <c:v>53.386766260509134</c:v>
                </c:pt>
                <c:pt idx="18">
                  <c:v>51.304638283021021</c:v>
                </c:pt>
                <c:pt idx="19">
                  <c:v>47.140296875858233</c:v>
                </c:pt>
                <c:pt idx="20">
                  <c:v>43.892088360702765</c:v>
                </c:pt>
                <c:pt idx="21">
                  <c:v>40.477333533960476</c:v>
                </c:pt>
                <c:pt idx="22">
                  <c:v>37.478987212278497</c:v>
                </c:pt>
                <c:pt idx="23">
                  <c:v>32.815006870355269</c:v>
                </c:pt>
              </c:numCache>
            </c:numRef>
          </c:yVal>
          <c:smooth val="1"/>
          <c:extLst>
            <c:ext xmlns:c16="http://schemas.microsoft.com/office/drawing/2014/chart" uri="{C3380CC4-5D6E-409C-BE32-E72D297353CC}">
              <c16:uniqueId val="{00000020-03F7-4996-9650-E9D5C531A9C5}"/>
            </c:ext>
          </c:extLst>
        </c:ser>
        <c:dLbls>
          <c:showLegendKey val="0"/>
          <c:showVal val="0"/>
          <c:showCatName val="0"/>
          <c:showSerName val="0"/>
          <c:showPercent val="0"/>
          <c:showBubbleSize val="0"/>
        </c:dLbls>
        <c:axId val="1025882728"/>
        <c:axId val="1025883904"/>
      </c:scatterChart>
      <c:valAx>
        <c:axId val="102588272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3904"/>
        <c:crosses val="autoZero"/>
        <c:crossBetween val="midCat"/>
        <c:majorUnit val="500"/>
        <c:minorUnit val="100"/>
      </c:valAx>
      <c:valAx>
        <c:axId val="1025883904"/>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2728"/>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31F1-434D-AAB7-CAEC60D60087}"/>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31F1-434D-AAB7-CAEC60D60087}"/>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31F1-434D-AAB7-CAEC60D60087}"/>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31F1-434D-AAB7-CAEC60D60087}"/>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31F1-434D-AAB7-CAEC60D60087}"/>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31F1-434D-AAB7-CAEC60D60087}"/>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31F1-434D-AAB7-CAEC60D60087}"/>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31F1-434D-AAB7-CAEC60D60087}"/>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31F1-434D-AAB7-CAEC60D60087}"/>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31F1-434D-AAB7-CAEC60D60087}"/>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31F1-434D-AAB7-CAEC60D60087}"/>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31F1-434D-AAB7-CAEC60D60087}"/>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31F1-434D-AAB7-CAEC60D60087}"/>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31F1-434D-AAB7-CAEC60D60087}"/>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31F1-434D-AAB7-CAEC60D60087}"/>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31F1-434D-AAB7-CAEC60D60087}"/>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31F1-434D-AAB7-CAEC60D60087}"/>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31F1-434D-AAB7-CAEC60D60087}"/>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31F1-434D-AAB7-CAEC60D60087}"/>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31F1-434D-AAB7-CAEC60D60087}"/>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31F1-434D-AAB7-CAEC60D60087}"/>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31F1-434D-AAB7-CAEC60D60087}"/>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'25 Pct '!$C$10</c:f>
              <c:numCache>
                <c:formatCode>#,##0</c:formatCode>
                <c:ptCount val="1"/>
                <c:pt idx="0">
                  <c:v>325</c:v>
                </c:pt>
              </c:numCache>
            </c:numRef>
          </c:xVal>
          <c:yVal>
            <c:numRef>
              <c:f>'25 Pct '!$C$11</c:f>
              <c:numCache>
                <c:formatCode>0.00</c:formatCode>
                <c:ptCount val="1"/>
                <c:pt idx="0">
                  <c:v>70</c:v>
                </c:pt>
              </c:numCache>
            </c:numRef>
          </c:yVal>
          <c:smooth val="1"/>
          <c:extLst>
            <c:ext xmlns:c16="http://schemas.microsoft.com/office/drawing/2014/chart" uri="{C3380CC4-5D6E-409C-BE32-E72D297353CC}">
              <c16:uniqueId val="{00000016-31F1-434D-AAB7-CAEC60D60087}"/>
            </c:ext>
          </c:extLst>
        </c:ser>
        <c:ser>
          <c:idx val="24"/>
          <c:order val="23"/>
          <c:tx>
            <c:v>50% Head</c:v>
          </c:tx>
          <c:spPr>
            <a:ln w="12700" cap="rnd">
              <a:solidFill>
                <a:srgbClr val="00B0F0"/>
              </a:solidFill>
              <a:prstDash val="dash"/>
              <a:round/>
            </a:ln>
            <a:effectLst/>
          </c:spPr>
          <c:marker>
            <c:symbol val="none"/>
          </c:marker>
          <c:xVal>
            <c:numRef>
              <c:f>'25 Pct '!$C$43:$C$44</c:f>
              <c:numCache>
                <c:formatCode>#,##0</c:formatCode>
                <c:ptCount val="2"/>
                <c:pt idx="0">
                  <c:v>2500</c:v>
                </c:pt>
                <c:pt idx="1">
                  <c:v>0</c:v>
                </c:pt>
              </c:numCache>
            </c:numRef>
          </c:xVal>
          <c:yVal>
            <c:numRef>
              <c:f>'25 Pct '!$D$43:$D$44</c:f>
              <c:numCache>
                <c:formatCode>0.00</c:formatCode>
                <c:ptCount val="2"/>
                <c:pt idx="0">
                  <c:v>70</c:v>
                </c:pt>
                <c:pt idx="1">
                  <c:v>70</c:v>
                </c:pt>
              </c:numCache>
            </c:numRef>
          </c:yVal>
          <c:smooth val="1"/>
          <c:extLst>
            <c:ext xmlns:c16="http://schemas.microsoft.com/office/drawing/2014/chart" uri="{C3380CC4-5D6E-409C-BE32-E72D297353CC}">
              <c16:uniqueId val="{00000017-31F1-434D-AAB7-CAEC60D60087}"/>
            </c:ext>
          </c:extLst>
        </c:ser>
        <c:ser>
          <c:idx val="25"/>
          <c:order val="24"/>
          <c:tx>
            <c:v>50%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31F1-434D-AAB7-CAEC60D60087}"/>
              </c:ext>
            </c:extLst>
          </c:dPt>
          <c:xVal>
            <c:numRef>
              <c:f>'25 Pct '!$C$45:$C$46</c:f>
              <c:numCache>
                <c:formatCode>#,##0</c:formatCode>
                <c:ptCount val="2"/>
                <c:pt idx="0">
                  <c:v>325</c:v>
                </c:pt>
                <c:pt idx="1">
                  <c:v>325</c:v>
                </c:pt>
              </c:numCache>
            </c:numRef>
          </c:xVal>
          <c:yVal>
            <c:numRef>
              <c:f>'25 Pct '!$D$45:$D$46</c:f>
              <c:numCache>
                <c:formatCode>0.00</c:formatCode>
                <c:ptCount val="2"/>
                <c:pt idx="0">
                  <c:v>90</c:v>
                </c:pt>
                <c:pt idx="1">
                  <c:v>0</c:v>
                </c:pt>
              </c:numCache>
            </c:numRef>
          </c:yVal>
          <c:smooth val="1"/>
          <c:extLst>
            <c:ext xmlns:c16="http://schemas.microsoft.com/office/drawing/2014/chart" uri="{C3380CC4-5D6E-409C-BE32-E72D297353CC}">
              <c16:uniqueId val="{0000001A-31F1-434D-AAB7-CAEC60D60087}"/>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31F1-434D-AAB7-CAEC60D60087}"/>
            </c:ext>
          </c:extLst>
        </c:ser>
        <c:ser>
          <c:idx val="1"/>
          <c:order val="26"/>
          <c:tx>
            <c:v>50% System Curve</c:v>
          </c:tx>
          <c:spPr>
            <a:ln w="25400" cap="rnd">
              <a:solidFill>
                <a:srgbClr val="00B0F0"/>
              </a:solidFill>
              <a:round/>
            </a:ln>
            <a:effectLst/>
          </c:spPr>
          <c:marker>
            <c:symbol val="none"/>
          </c:marker>
          <c:xVal>
            <c:numRef>
              <c:f>'25 Pct '!$C$23:$C$40</c:f>
              <c:numCache>
                <c:formatCode>#,##0</c:formatCode>
                <c:ptCount val="18"/>
                <c:pt idx="0">
                  <c:v>520</c:v>
                </c:pt>
                <c:pt idx="1">
                  <c:v>390</c:v>
                </c:pt>
                <c:pt idx="2">
                  <c:v>325</c:v>
                </c:pt>
                <c:pt idx="3">
                  <c:v>260</c:v>
                </c:pt>
                <c:pt idx="4">
                  <c:v>195</c:v>
                </c:pt>
                <c:pt idx="5">
                  <c:v>130</c:v>
                </c:pt>
                <c:pt idx="6">
                  <c:v>97.5</c:v>
                </c:pt>
                <c:pt idx="7">
                  <c:v>65</c:v>
                </c:pt>
                <c:pt idx="8">
                  <c:v>58.5</c:v>
                </c:pt>
                <c:pt idx="9">
                  <c:v>52</c:v>
                </c:pt>
                <c:pt idx="10">
                  <c:v>45.500000000000007</c:v>
                </c:pt>
                <c:pt idx="11">
                  <c:v>39</c:v>
                </c:pt>
                <c:pt idx="12">
                  <c:v>32.5</c:v>
                </c:pt>
                <c:pt idx="13">
                  <c:v>26</c:v>
                </c:pt>
                <c:pt idx="14">
                  <c:v>19.5</c:v>
                </c:pt>
                <c:pt idx="15">
                  <c:v>7.8</c:v>
                </c:pt>
                <c:pt idx="16">
                  <c:v>3.9</c:v>
                </c:pt>
                <c:pt idx="17">
                  <c:v>0</c:v>
                </c:pt>
              </c:numCache>
            </c:numRef>
          </c:xVal>
          <c:yVal>
            <c:numRef>
              <c:f>'25 Pct '!$D$23:$D$40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31F1-434D-AAB7-CAEC60D60087}"/>
            </c:ext>
          </c:extLst>
        </c:ser>
        <c:ser>
          <c:idx val="27"/>
          <c:order val="27"/>
          <c:tx>
            <c:v>50%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'25 Pct '!$C$51</c:f>
              <c:numCache>
                <c:formatCode>#,##0</c:formatCode>
                <c:ptCount val="1"/>
                <c:pt idx="0">
                  <c:v>350</c:v>
                </c:pt>
              </c:numCache>
            </c:numRef>
          </c:xVal>
          <c:yVal>
            <c:numRef>
              <c:f>'25 Pct '!$D$49</c:f>
              <c:numCache>
                <c:formatCode>0.00</c:formatCode>
                <c:ptCount val="1"/>
                <c:pt idx="0">
                  <c:v>79.599999999999994</c:v>
                </c:pt>
              </c:numCache>
            </c:numRef>
          </c:yVal>
          <c:smooth val="1"/>
          <c:extLst>
            <c:ext xmlns:c16="http://schemas.microsoft.com/office/drawing/2014/chart" uri="{C3380CC4-5D6E-409C-BE32-E72D297353CC}">
              <c16:uniqueId val="{0000001D-31F1-434D-AAB7-CAEC60D60087}"/>
            </c:ext>
          </c:extLst>
        </c:ser>
        <c:ser>
          <c:idx val="28"/>
          <c:order val="28"/>
          <c:tx>
            <c:v>50% Impeller Curve Flow</c:v>
          </c:tx>
          <c:spPr>
            <a:ln w="12700" cap="rnd">
              <a:solidFill>
                <a:schemeClr val="accent4"/>
              </a:solidFill>
              <a:prstDash val="dash"/>
              <a:round/>
            </a:ln>
            <a:effectLst/>
          </c:spPr>
          <c:marker>
            <c:symbol val="none"/>
          </c:marker>
          <c:xVal>
            <c:numRef>
              <c:f>'25 Pct '!$C$51:$C$52</c:f>
              <c:numCache>
                <c:formatCode>#,##0</c:formatCode>
                <c:ptCount val="2"/>
                <c:pt idx="0">
                  <c:v>350</c:v>
                </c:pt>
                <c:pt idx="1">
                  <c:v>350</c:v>
                </c:pt>
              </c:numCache>
            </c:numRef>
          </c:xVal>
          <c:yVal>
            <c:numRef>
              <c:f>'25 Pct '!$D$51:$D$52</c:f>
              <c:numCache>
                <c:formatCode>0.00</c:formatCode>
                <c:ptCount val="2"/>
                <c:pt idx="0">
                  <c:v>90</c:v>
                </c:pt>
                <c:pt idx="1">
                  <c:v>0</c:v>
                </c:pt>
              </c:numCache>
            </c:numRef>
          </c:yVal>
          <c:smooth val="1"/>
          <c:extLst>
            <c:ext xmlns:c16="http://schemas.microsoft.com/office/drawing/2014/chart" uri="{C3380CC4-5D6E-409C-BE32-E72D297353CC}">
              <c16:uniqueId val="{0000001E-31F1-434D-AAB7-CAEC60D60087}"/>
            </c:ext>
          </c:extLst>
        </c:ser>
        <c:ser>
          <c:idx val="29"/>
          <c:order val="29"/>
          <c:tx>
            <c:v>50% Impeller Curve Head</c:v>
          </c:tx>
          <c:spPr>
            <a:ln w="12700" cap="rnd">
              <a:solidFill>
                <a:schemeClr val="accent4"/>
              </a:solidFill>
              <a:prstDash val="dash"/>
              <a:round/>
            </a:ln>
            <a:effectLst/>
          </c:spPr>
          <c:marker>
            <c:symbol val="none"/>
          </c:marker>
          <c:xVal>
            <c:numRef>
              <c:f>'25 Pct '!$C$49:$C$50</c:f>
              <c:numCache>
                <c:formatCode>#,##0</c:formatCode>
                <c:ptCount val="2"/>
                <c:pt idx="0">
                  <c:v>2500</c:v>
                </c:pt>
                <c:pt idx="1">
                  <c:v>0</c:v>
                </c:pt>
              </c:numCache>
            </c:numRef>
          </c:xVal>
          <c:yVal>
            <c:numRef>
              <c:f>'25 Pct '!$D$49:$D$50</c:f>
              <c:numCache>
                <c:formatCode>0.00</c:formatCode>
                <c:ptCount val="2"/>
                <c:pt idx="0">
                  <c:v>79.599999999999994</c:v>
                </c:pt>
                <c:pt idx="1">
                  <c:v>79.599999999999994</c:v>
                </c:pt>
              </c:numCache>
            </c:numRef>
          </c:yVal>
          <c:smooth val="1"/>
          <c:extLst>
            <c:ext xmlns:c16="http://schemas.microsoft.com/office/drawing/2014/chart" uri="{C3380CC4-5D6E-409C-BE32-E72D297353CC}">
              <c16:uniqueId val="{0000001F-31F1-434D-AAB7-CAEC60D60087}"/>
            </c:ext>
          </c:extLst>
        </c:ser>
        <c:ser>
          <c:idx val="30"/>
          <c:order val="30"/>
          <c:tx>
            <c:v>50% Speed Tweaked</c:v>
          </c:tx>
          <c:spPr>
            <a:ln w="25400" cap="rnd">
              <a:solidFill>
                <a:srgbClr val="00B0F0"/>
              </a:solidFill>
              <a:prstDash val="lgDash"/>
              <a:round/>
            </a:ln>
            <a:effectLst/>
          </c:spPr>
          <c:marker>
            <c:symbol val="none"/>
          </c:marker>
          <c:xVal>
            <c:numRef>
              <c:f>'25 Pct Speed Estimate Tweak'!$C$74:$C$97</c:f>
              <c:numCache>
                <c:formatCode>#,##0</c:formatCode>
                <c:ptCount val="24"/>
                <c:pt idx="0">
                  <c:v>9.1726708074534174E-10</c:v>
                </c:pt>
                <c:pt idx="1">
                  <c:v>92.678831304347824</c:v>
                </c:pt>
                <c:pt idx="2">
                  <c:v>185.35766260869565</c:v>
                </c:pt>
                <c:pt idx="3">
                  <c:v>276.76699627329197</c:v>
                </c:pt>
                <c:pt idx="4">
                  <c:v>368.17632993788823</c:v>
                </c:pt>
                <c:pt idx="5">
                  <c:v>460.85516124223608</c:v>
                </c:pt>
                <c:pt idx="6">
                  <c:v>552.2644949068324</c:v>
                </c:pt>
                <c:pt idx="7">
                  <c:v>644.94332621118019</c:v>
                </c:pt>
                <c:pt idx="8">
                  <c:v>735.08316223602492</c:v>
                </c:pt>
                <c:pt idx="9">
                  <c:v>829.03149118012436</c:v>
                </c:pt>
                <c:pt idx="10">
                  <c:v>916.63233192546591</c:v>
                </c:pt>
                <c:pt idx="11">
                  <c:v>1010.5806608695653</c:v>
                </c:pt>
                <c:pt idx="12">
                  <c:v>1101.9863254658387</c:v>
                </c:pt>
                <c:pt idx="13">
                  <c:v>1194.6669913043479</c:v>
                </c:pt>
                <c:pt idx="14">
                  <c:v>1286.0818285714286</c:v>
                </c:pt>
                <c:pt idx="15">
                  <c:v>1377.487493167702</c:v>
                </c:pt>
                <c:pt idx="16">
                  <c:v>1467.6273291925468</c:v>
                </c:pt>
                <c:pt idx="17">
                  <c:v>1510.7939180124224</c:v>
                </c:pt>
                <c:pt idx="18">
                  <c:v>1559.03299378882</c:v>
                </c:pt>
                <c:pt idx="19">
                  <c:v>1642.8253416149071</c:v>
                </c:pt>
                <c:pt idx="20">
                  <c:v>1694.8802484472051</c:v>
                </c:pt>
                <c:pt idx="21">
                  <c:v>1745.6601540372671</c:v>
                </c:pt>
                <c:pt idx="22">
                  <c:v>1787.5609142857145</c:v>
                </c:pt>
                <c:pt idx="23">
                  <c:v>1847.2291378881989</c:v>
                </c:pt>
              </c:numCache>
            </c:numRef>
          </c:xVal>
          <c:yVal>
            <c:numRef>
              <c:f>'25 Pct Speed Estimate Tweak'!$E$74:$E$97</c:f>
              <c:numCache>
                <c:formatCode>#,##0</c:formatCode>
                <c:ptCount val="24"/>
                <c:pt idx="0">
                  <c:v>70.27894895729024</c:v>
                </c:pt>
                <c:pt idx="1">
                  <c:v>70.360899261898837</c:v>
                </c:pt>
                <c:pt idx="2">
                  <c:v>70.278948957290226</c:v>
                </c:pt>
                <c:pt idx="3">
                  <c:v>70.196914514791885</c:v>
                </c:pt>
                <c:pt idx="4">
                  <c:v>70.032929767684905</c:v>
                </c:pt>
                <c:pt idx="5">
                  <c:v>69.704876135581202</c:v>
                </c:pt>
                <c:pt idx="6">
                  <c:v>69.376822503477513</c:v>
                </c:pt>
                <c:pt idx="7">
                  <c:v>69.048853009263539</c:v>
                </c:pt>
                <c:pt idx="8">
                  <c:v>68.72079937715985</c:v>
                </c:pt>
                <c:pt idx="9">
                  <c:v>68.146726555450812</c:v>
                </c:pt>
                <c:pt idx="10">
                  <c:v>67.326718682026168</c:v>
                </c:pt>
                <c:pt idx="11">
                  <c:v>65.932637986892502</c:v>
                </c:pt>
                <c:pt idx="12">
                  <c:v>64.292538102153486</c:v>
                </c:pt>
                <c:pt idx="13">
                  <c:v>62.324384585310753</c:v>
                </c:pt>
                <c:pt idx="14">
                  <c:v>60.192246321361075</c:v>
                </c:pt>
                <c:pt idx="15">
                  <c:v>57.650019982809319</c:v>
                </c:pt>
                <c:pt idx="16">
                  <c:v>54.369820213331288</c:v>
                </c:pt>
                <c:pt idx="17">
                  <c:v>52.565651443595549</c:v>
                </c:pt>
                <c:pt idx="18">
                  <c:v>50.515547622144219</c:v>
                </c:pt>
                <c:pt idx="19">
                  <c:v>46.415255841351815</c:v>
                </c:pt>
                <c:pt idx="20">
                  <c:v>43.217006376482395</c:v>
                </c:pt>
                <c:pt idx="21">
                  <c:v>39.854772164506009</c:v>
                </c:pt>
                <c:pt idx="22">
                  <c:v>36.902541889241938</c:v>
                </c:pt>
                <c:pt idx="23">
                  <c:v>32.310295867128595</c:v>
                </c:pt>
              </c:numCache>
            </c:numRef>
          </c:yVal>
          <c:smooth val="1"/>
          <c:extLst>
            <c:ext xmlns:c16="http://schemas.microsoft.com/office/drawing/2014/chart" uri="{C3380CC4-5D6E-409C-BE32-E72D297353CC}">
              <c16:uniqueId val="{00000020-31F1-434D-AAB7-CAEC60D60087}"/>
            </c:ext>
          </c:extLst>
        </c:ser>
        <c:dLbls>
          <c:showLegendKey val="0"/>
          <c:showVal val="0"/>
          <c:showCatName val="0"/>
          <c:showSerName val="0"/>
          <c:showPercent val="0"/>
          <c:showBubbleSize val="0"/>
        </c:dLbls>
        <c:axId val="1025885472"/>
        <c:axId val="1025886256"/>
      </c:scatterChart>
      <c:valAx>
        <c:axId val="1025885472"/>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a:t>
                </a:r>
                <a:r>
                  <a:rPr lang="en-US" sz="1400" baseline="0"/>
                  <a:t> gpm</a:t>
                </a:r>
                <a:endParaRPr lang="en-US" sz="140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6256"/>
        <c:crosses val="autoZero"/>
        <c:crossBetween val="midCat"/>
        <c:majorUnit val="500"/>
        <c:minorUnit val="100"/>
      </c:valAx>
      <c:valAx>
        <c:axId val="1025886256"/>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5472"/>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80C1-4B18-9098-A21EE05B4427}"/>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80C1-4B18-9098-A21EE05B4427}"/>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80C1-4B18-9098-A21EE05B4427}"/>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80C1-4B18-9098-A21EE05B4427}"/>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80C1-4B18-9098-A21EE05B4427}"/>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80C1-4B18-9098-A21EE05B4427}"/>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80C1-4B18-9098-A21EE05B4427}"/>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80C1-4B18-9098-A21EE05B4427}"/>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80C1-4B18-9098-A21EE05B4427}"/>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80C1-4B18-9098-A21EE05B4427}"/>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80C1-4B18-9098-A21EE05B4427}"/>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80C1-4B18-9098-A21EE05B4427}"/>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80C1-4B18-9098-A21EE05B4427}"/>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80C1-4B18-9098-A21EE05B4427}"/>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80C1-4B18-9098-A21EE05B4427}"/>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80C1-4B18-9098-A21EE05B4427}"/>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80C1-4B18-9098-A21EE05B4427}"/>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80C1-4B18-9098-A21EE05B4427}"/>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80C1-4B18-9098-A21EE05B4427}"/>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80C1-4B18-9098-A21EE05B4427}"/>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80C1-4B18-9098-A21EE05B4427}"/>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80C1-4B18-9098-A21EE05B4427}"/>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'12.5 Pct'!$C$10</c:f>
              <c:numCache>
                <c:formatCode>#,##0.0</c:formatCode>
                <c:ptCount val="1"/>
                <c:pt idx="0">
                  <c:v>162.5</c:v>
                </c:pt>
              </c:numCache>
            </c:numRef>
          </c:xVal>
          <c:yVal>
            <c:numRef>
              <c:f>'12.5 Pct'!$C$11</c:f>
              <c:numCache>
                <c:formatCode>#,##0.000</c:formatCode>
                <c:ptCount val="1"/>
                <c:pt idx="0">
                  <c:v>70</c:v>
                </c:pt>
              </c:numCache>
            </c:numRef>
          </c:yVal>
          <c:smooth val="1"/>
          <c:extLst>
            <c:ext xmlns:c16="http://schemas.microsoft.com/office/drawing/2014/chart" uri="{C3380CC4-5D6E-409C-BE32-E72D297353CC}">
              <c16:uniqueId val="{00000016-80C1-4B18-9098-A21EE05B4427}"/>
            </c:ext>
          </c:extLst>
        </c:ser>
        <c:ser>
          <c:idx val="24"/>
          <c:order val="23"/>
          <c:tx>
            <c:v>50% Head</c:v>
          </c:tx>
          <c:spPr>
            <a:ln w="12700" cap="rnd">
              <a:solidFill>
                <a:srgbClr val="00B0F0"/>
              </a:solidFill>
              <a:prstDash val="dash"/>
              <a:round/>
            </a:ln>
            <a:effectLst/>
          </c:spPr>
          <c:marker>
            <c:symbol val="none"/>
          </c:marker>
          <c:xVal>
            <c:numRef>
              <c:f>'12.5 Pct'!$C$43:$C$44</c:f>
              <c:numCache>
                <c:formatCode>#,##0</c:formatCode>
                <c:ptCount val="2"/>
                <c:pt idx="0">
                  <c:v>2500</c:v>
                </c:pt>
                <c:pt idx="1">
                  <c:v>0</c:v>
                </c:pt>
              </c:numCache>
            </c:numRef>
          </c:xVal>
          <c:yVal>
            <c:numRef>
              <c:f>'12.5 Pct'!$D$43:$D$44</c:f>
              <c:numCache>
                <c:formatCode>0.00</c:formatCode>
                <c:ptCount val="2"/>
                <c:pt idx="0">
                  <c:v>70</c:v>
                </c:pt>
                <c:pt idx="1">
                  <c:v>70</c:v>
                </c:pt>
              </c:numCache>
            </c:numRef>
          </c:yVal>
          <c:smooth val="1"/>
          <c:extLst>
            <c:ext xmlns:c16="http://schemas.microsoft.com/office/drawing/2014/chart" uri="{C3380CC4-5D6E-409C-BE32-E72D297353CC}">
              <c16:uniqueId val="{00000017-80C1-4B18-9098-A21EE05B4427}"/>
            </c:ext>
          </c:extLst>
        </c:ser>
        <c:ser>
          <c:idx val="25"/>
          <c:order val="24"/>
          <c:tx>
            <c:v>50%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80C1-4B18-9098-A21EE05B4427}"/>
              </c:ext>
            </c:extLst>
          </c:dPt>
          <c:xVal>
            <c:numRef>
              <c:f>'12.5 Pct'!$C$45:$C$46</c:f>
              <c:numCache>
                <c:formatCode>#,##0</c:formatCode>
                <c:ptCount val="2"/>
                <c:pt idx="0">
                  <c:v>162.5</c:v>
                </c:pt>
                <c:pt idx="1">
                  <c:v>162.5</c:v>
                </c:pt>
              </c:numCache>
            </c:numRef>
          </c:xVal>
          <c:yVal>
            <c:numRef>
              <c:f>'12.5 Pct'!$D$45:$D$46</c:f>
              <c:numCache>
                <c:formatCode>0.00</c:formatCode>
                <c:ptCount val="2"/>
                <c:pt idx="0">
                  <c:v>90</c:v>
                </c:pt>
                <c:pt idx="1">
                  <c:v>0</c:v>
                </c:pt>
              </c:numCache>
            </c:numRef>
          </c:yVal>
          <c:smooth val="1"/>
          <c:extLst>
            <c:ext xmlns:c16="http://schemas.microsoft.com/office/drawing/2014/chart" uri="{C3380CC4-5D6E-409C-BE32-E72D297353CC}">
              <c16:uniqueId val="{0000001A-80C1-4B18-9098-A21EE05B4427}"/>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80C1-4B18-9098-A21EE05B4427}"/>
            </c:ext>
          </c:extLst>
        </c:ser>
        <c:ser>
          <c:idx val="1"/>
          <c:order val="26"/>
          <c:tx>
            <c:v>50% System Curve</c:v>
          </c:tx>
          <c:spPr>
            <a:ln w="25400" cap="rnd">
              <a:solidFill>
                <a:srgbClr val="00B0F0"/>
              </a:solidFill>
              <a:round/>
            </a:ln>
            <a:effectLst/>
          </c:spPr>
          <c:marker>
            <c:symbol val="none"/>
          </c:marker>
          <c:xVal>
            <c:numRef>
              <c:f>'12.5 Pct'!$C$23:$C$40</c:f>
              <c:numCache>
                <c:formatCode>#,##0</c:formatCode>
                <c:ptCount val="18"/>
                <c:pt idx="0">
                  <c:v>325</c:v>
                </c:pt>
                <c:pt idx="1">
                  <c:v>195</c:v>
                </c:pt>
                <c:pt idx="2">
                  <c:v>162.5</c:v>
                </c:pt>
                <c:pt idx="3">
                  <c:v>130</c:v>
                </c:pt>
                <c:pt idx="4">
                  <c:v>97.5</c:v>
                </c:pt>
                <c:pt idx="5">
                  <c:v>65</c:v>
                </c:pt>
                <c:pt idx="6">
                  <c:v>48.75</c:v>
                </c:pt>
                <c:pt idx="7">
                  <c:v>32.5</c:v>
                </c:pt>
                <c:pt idx="8">
                  <c:v>29.25</c:v>
                </c:pt>
                <c:pt idx="9">
                  <c:v>26</c:v>
                </c:pt>
                <c:pt idx="10">
                  <c:v>22.750000000000004</c:v>
                </c:pt>
                <c:pt idx="11">
                  <c:v>19.5</c:v>
                </c:pt>
                <c:pt idx="12">
                  <c:v>16.25</c:v>
                </c:pt>
                <c:pt idx="13">
                  <c:v>13</c:v>
                </c:pt>
                <c:pt idx="14">
                  <c:v>9.75</c:v>
                </c:pt>
                <c:pt idx="15">
                  <c:v>3.9</c:v>
                </c:pt>
                <c:pt idx="16">
                  <c:v>1.95</c:v>
                </c:pt>
                <c:pt idx="17">
                  <c:v>0</c:v>
                </c:pt>
              </c:numCache>
            </c:numRef>
          </c:xVal>
          <c:yVal>
            <c:numRef>
              <c:f>'12.5 Pct'!$D$23:$D$40</c:f>
              <c:numCache>
                <c:formatCode>0.00</c:formatCode>
                <c:ptCount val="18"/>
                <c:pt idx="0">
                  <c:v>280</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80C1-4B18-9098-A21EE05B4427}"/>
            </c:ext>
          </c:extLst>
        </c:ser>
        <c:ser>
          <c:idx val="27"/>
          <c:order val="27"/>
          <c:tx>
            <c:v>50%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'12.5 Pct'!$C$51</c:f>
              <c:numCache>
                <c:formatCode>#,##0</c:formatCode>
                <c:ptCount val="1"/>
                <c:pt idx="0">
                  <c:v>175</c:v>
                </c:pt>
              </c:numCache>
            </c:numRef>
          </c:xVal>
          <c:yVal>
            <c:numRef>
              <c:f>'12.5 Pct'!$D$49</c:f>
              <c:numCache>
                <c:formatCode>0.00</c:formatCode>
                <c:ptCount val="1"/>
                <c:pt idx="0">
                  <c:v>79.924999999999997</c:v>
                </c:pt>
              </c:numCache>
            </c:numRef>
          </c:yVal>
          <c:smooth val="1"/>
          <c:extLst>
            <c:ext xmlns:c16="http://schemas.microsoft.com/office/drawing/2014/chart" uri="{C3380CC4-5D6E-409C-BE32-E72D297353CC}">
              <c16:uniqueId val="{0000001D-80C1-4B18-9098-A21EE05B4427}"/>
            </c:ext>
          </c:extLst>
        </c:ser>
        <c:ser>
          <c:idx val="28"/>
          <c:order val="28"/>
          <c:tx>
            <c:v>50% Impeller Curve Flow</c:v>
          </c:tx>
          <c:spPr>
            <a:ln w="12700" cap="rnd">
              <a:solidFill>
                <a:schemeClr val="accent4"/>
              </a:solidFill>
              <a:prstDash val="dash"/>
              <a:round/>
            </a:ln>
            <a:effectLst/>
          </c:spPr>
          <c:marker>
            <c:symbol val="none"/>
          </c:marker>
          <c:xVal>
            <c:numRef>
              <c:f>'12.5 Pct'!$C$51:$C$52</c:f>
              <c:numCache>
                <c:formatCode>#,##0</c:formatCode>
                <c:ptCount val="2"/>
                <c:pt idx="0">
                  <c:v>175</c:v>
                </c:pt>
                <c:pt idx="1">
                  <c:v>175</c:v>
                </c:pt>
              </c:numCache>
            </c:numRef>
          </c:xVal>
          <c:yVal>
            <c:numRef>
              <c:f>'12.5 Pct'!$D$51:$D$52</c:f>
              <c:numCache>
                <c:formatCode>0.00</c:formatCode>
                <c:ptCount val="2"/>
                <c:pt idx="0">
                  <c:v>90</c:v>
                </c:pt>
                <c:pt idx="1">
                  <c:v>0</c:v>
                </c:pt>
              </c:numCache>
            </c:numRef>
          </c:yVal>
          <c:smooth val="1"/>
          <c:extLst>
            <c:ext xmlns:c16="http://schemas.microsoft.com/office/drawing/2014/chart" uri="{C3380CC4-5D6E-409C-BE32-E72D297353CC}">
              <c16:uniqueId val="{0000001E-80C1-4B18-9098-A21EE05B4427}"/>
            </c:ext>
          </c:extLst>
        </c:ser>
        <c:ser>
          <c:idx val="29"/>
          <c:order val="29"/>
          <c:tx>
            <c:v>50% Impeller Curve Head</c:v>
          </c:tx>
          <c:spPr>
            <a:ln w="12700" cap="rnd">
              <a:solidFill>
                <a:schemeClr val="accent4"/>
              </a:solidFill>
              <a:prstDash val="dash"/>
              <a:round/>
            </a:ln>
            <a:effectLst/>
          </c:spPr>
          <c:marker>
            <c:symbol val="none"/>
          </c:marker>
          <c:xVal>
            <c:numRef>
              <c:f>'12.5 Pct'!$C$49:$C$50</c:f>
              <c:numCache>
                <c:formatCode>#,##0</c:formatCode>
                <c:ptCount val="2"/>
                <c:pt idx="0">
                  <c:v>2500</c:v>
                </c:pt>
                <c:pt idx="1">
                  <c:v>0</c:v>
                </c:pt>
              </c:numCache>
            </c:numRef>
          </c:xVal>
          <c:yVal>
            <c:numRef>
              <c:f>'12.5 Pct'!$D$49:$D$50</c:f>
              <c:numCache>
                <c:formatCode>0.00</c:formatCode>
                <c:ptCount val="2"/>
                <c:pt idx="0">
                  <c:v>79.924999999999997</c:v>
                </c:pt>
                <c:pt idx="1">
                  <c:v>79.924999999999997</c:v>
                </c:pt>
              </c:numCache>
            </c:numRef>
          </c:yVal>
          <c:smooth val="1"/>
          <c:extLst>
            <c:ext xmlns:c16="http://schemas.microsoft.com/office/drawing/2014/chart" uri="{C3380CC4-5D6E-409C-BE32-E72D297353CC}">
              <c16:uniqueId val="{0000001F-80C1-4B18-9098-A21EE05B4427}"/>
            </c:ext>
          </c:extLst>
        </c:ser>
        <c:ser>
          <c:idx val="30"/>
          <c:order val="30"/>
          <c:tx>
            <c:v>50% Speed Tweaked</c:v>
          </c:tx>
          <c:spPr>
            <a:ln w="25400" cap="rnd">
              <a:solidFill>
                <a:srgbClr val="00B0F0"/>
              </a:solidFill>
              <a:prstDash val="lgDash"/>
              <a:round/>
            </a:ln>
            <a:effectLst/>
          </c:spPr>
          <c:marker>
            <c:symbol val="none"/>
          </c:marker>
          <c:xVal>
            <c:numRef>
              <c:f>'12.5 Pct Speed Estimate Tweak'!$C$74:$C$97</c:f>
              <c:numCache>
                <c:formatCode>#,##0</c:formatCode>
                <c:ptCount val="24"/>
                <c:pt idx="0">
                  <c:v>9.1639751552795036E-10</c:v>
                </c:pt>
                <c:pt idx="1">
                  <c:v>92.590972173913045</c:v>
                </c:pt>
                <c:pt idx="2">
                  <c:v>185.18194434782609</c:v>
                </c:pt>
                <c:pt idx="3">
                  <c:v>276.50462236024845</c:v>
                </c:pt>
                <c:pt idx="4">
                  <c:v>367.82730037267083</c:v>
                </c:pt>
                <c:pt idx="5">
                  <c:v>460.41827254658386</c:v>
                </c:pt>
                <c:pt idx="6">
                  <c:v>551.74095055900625</c:v>
                </c:pt>
                <c:pt idx="7">
                  <c:v>644.33192273291934</c:v>
                </c:pt>
                <c:pt idx="8">
                  <c:v>734.38630658385102</c:v>
                </c:pt>
                <c:pt idx="9">
                  <c:v>828.24557291925476</c:v>
                </c:pt>
                <c:pt idx="10">
                  <c:v>915.76336844720504</c:v>
                </c:pt>
                <c:pt idx="11">
                  <c:v>1009.6226347826088</c:v>
                </c:pt>
                <c:pt idx="12">
                  <c:v>1100.9416472049691</c:v>
                </c:pt>
                <c:pt idx="13">
                  <c:v>1193.5344521739132</c:v>
                </c:pt>
                <c:pt idx="14">
                  <c:v>1284.8626285714286</c:v>
                </c:pt>
                <c:pt idx="15">
                  <c:v>1376.181640993789</c:v>
                </c:pt>
                <c:pt idx="16">
                  <c:v>1466.2360248447205</c:v>
                </c:pt>
                <c:pt idx="17">
                  <c:v>1509.3616919254659</c:v>
                </c:pt>
                <c:pt idx="18">
                  <c:v>1557.5550372670809</c:v>
                </c:pt>
                <c:pt idx="19">
                  <c:v>1641.2679503105592</c:v>
                </c:pt>
                <c:pt idx="20">
                  <c:v>1693.2735093167703</c:v>
                </c:pt>
                <c:pt idx="21">
                  <c:v>1744.0052757763974</c:v>
                </c:pt>
                <c:pt idx="22">
                  <c:v>1785.8663142857142</c:v>
                </c:pt>
                <c:pt idx="23">
                  <c:v>1845.4779726708075</c:v>
                </c:pt>
              </c:numCache>
            </c:numRef>
          </c:xVal>
          <c:yVal>
            <c:numRef>
              <c:f>'12.5 Pct Speed Estimate Tweak'!$E$74:$E$97</c:f>
              <c:numCache>
                <c:formatCode>#,##0</c:formatCode>
                <c:ptCount val="24"/>
                <c:pt idx="0">
                  <c:v>70.14576383859729</c:v>
                </c:pt>
                <c:pt idx="1">
                  <c:v>70.227558839787051</c:v>
                </c:pt>
                <c:pt idx="2">
                  <c:v>70.14576383859729</c:v>
                </c:pt>
                <c:pt idx="3">
                  <c:v>70.063884858966858</c:v>
                </c:pt>
                <c:pt idx="4">
                  <c:v>69.90021087814668</c:v>
                </c:pt>
                <c:pt idx="5">
                  <c:v>69.572778938065667</c:v>
                </c:pt>
                <c:pt idx="6">
                  <c:v>69.245346997984655</c:v>
                </c:pt>
                <c:pt idx="7">
                  <c:v>68.917999036344284</c:v>
                </c:pt>
                <c:pt idx="8">
                  <c:v>68.590567096263285</c:v>
                </c:pt>
                <c:pt idx="9">
                  <c:v>68.017582195731649</c:v>
                </c:pt>
                <c:pt idx="10">
                  <c:v>67.199128313190073</c:v>
                </c:pt>
                <c:pt idx="11">
                  <c:v>65.807689530116903</c:v>
                </c:pt>
                <c:pt idx="12">
                  <c:v>64.170697786593124</c:v>
                </c:pt>
                <c:pt idx="13">
                  <c:v>62.206274102988317</c:v>
                </c:pt>
                <c:pt idx="14">
                  <c:v>60.078176438563339</c:v>
                </c:pt>
                <c:pt idx="15">
                  <c:v>57.540767854426917</c:v>
                </c:pt>
                <c:pt idx="16">
                  <c:v>54.266784367379351</c:v>
                </c:pt>
                <c:pt idx="17">
                  <c:v>52.466034664594751</c:v>
                </c:pt>
                <c:pt idx="18">
                  <c:v>50.41981597980017</c:v>
                </c:pt>
                <c:pt idx="19">
                  <c:v>46.327294631770393</c:v>
                </c:pt>
                <c:pt idx="20">
                  <c:v>43.13510614591258</c:v>
                </c:pt>
                <c:pt idx="21">
                  <c:v>39.779243679234604</c:v>
                </c:pt>
                <c:pt idx="22">
                  <c:v>36.832608153827401</c:v>
                </c:pt>
                <c:pt idx="23">
                  <c:v>32.249064863337068</c:v>
                </c:pt>
              </c:numCache>
            </c:numRef>
          </c:yVal>
          <c:smooth val="1"/>
          <c:extLst>
            <c:ext xmlns:c16="http://schemas.microsoft.com/office/drawing/2014/chart" uri="{C3380CC4-5D6E-409C-BE32-E72D297353CC}">
              <c16:uniqueId val="{00000020-80C1-4B18-9098-A21EE05B4427}"/>
            </c:ext>
          </c:extLst>
        </c:ser>
        <c:dLbls>
          <c:showLegendKey val="0"/>
          <c:showVal val="0"/>
          <c:showCatName val="0"/>
          <c:showSerName val="0"/>
          <c:showPercent val="0"/>
          <c:showBubbleSize val="0"/>
        </c:dLbls>
        <c:axId val="1025889784"/>
        <c:axId val="1025887040"/>
      </c:scatterChart>
      <c:valAx>
        <c:axId val="1025889784"/>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a:t>
                </a:r>
                <a:r>
                  <a:rPr lang="en-US" sz="1400" baseline="0"/>
                  <a:t> gpm</a:t>
                </a:r>
                <a:endParaRPr lang="en-US" sz="140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7040"/>
        <c:crosses val="autoZero"/>
        <c:crossBetween val="midCat"/>
        <c:majorUnit val="500"/>
        <c:minorUnit val="100"/>
      </c:valAx>
      <c:valAx>
        <c:axId val="1025887040"/>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9784"/>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kW vs.</a:t>
            </a:r>
            <a:r>
              <a:rPr lang="en-US" baseline="0"/>
              <a:t> Flow</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smoothMarker"/>
        <c:varyColors val="0"/>
        <c:ser>
          <c:idx val="0"/>
          <c:order val="0"/>
          <c:tx>
            <c:strRef>
              <c:f>Summary!$I$10</c:f>
              <c:strCache>
                <c:ptCount val="1"/>
                <c:pt idx="0">
                  <c:v>Projected kW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forward val="100"/>
            <c:backward val="200"/>
            <c:dispRSqr val="1"/>
            <c:dispEq val="1"/>
            <c:trendlineLbl>
              <c:layout>
                <c:manualLayout>
                  <c:x val="-9.3702291119860018E-2"/>
                  <c:y val="3.6537995973423641E-3"/>
                </c:manualLayout>
              </c:layout>
              <c:numFmt formatCode="#,##0.00000000000000" sourceLinked="0"/>
              <c:spPr>
                <a:noFill/>
                <a:ln>
                  <a:noFill/>
                </a:ln>
                <a:effectLst/>
              </c:spPr>
              <c:txPr>
                <a:bodyPr rot="0" spcFirstLastPara="1" vertOverflow="ellipsis" vert="horz" wrap="square" anchor="ctr" anchorCtr="1"/>
                <a:lstStyle/>
                <a:p>
                  <a:pPr>
                    <a:defRPr sz="1200" b="0" i="0" u="none" strike="noStrike" kern="1200" baseline="0">
                      <a:solidFill>
                        <a:srgbClr val="FF0000"/>
                      </a:solidFill>
                      <a:latin typeface="Comic Sans MS" panose="030F0702030302020204" pitchFamily="66" charset="0"/>
                      <a:ea typeface="+mn-ea"/>
                      <a:cs typeface="+mn-cs"/>
                    </a:defRPr>
                  </a:pPr>
                  <a:endParaRPr lang="en-US"/>
                </a:p>
              </c:txPr>
            </c:trendlineLbl>
          </c:trendline>
          <c:xVal>
            <c:numRef>
              <c:f>Summary!$B$11:$B$15</c:f>
              <c:numCache>
                <c:formatCode>#,##0.0</c:formatCode>
                <c:ptCount val="5"/>
                <c:pt idx="0">
                  <c:v>1300</c:v>
                </c:pt>
                <c:pt idx="1">
                  <c:v>975</c:v>
                </c:pt>
                <c:pt idx="2">
                  <c:v>650</c:v>
                </c:pt>
                <c:pt idx="3">
                  <c:v>325</c:v>
                </c:pt>
                <c:pt idx="4">
                  <c:v>162.5</c:v>
                </c:pt>
              </c:numCache>
            </c:numRef>
          </c:xVal>
          <c:yVal>
            <c:numRef>
              <c:f>Summary!$I$11:$I$15</c:f>
              <c:numCache>
                <c:formatCode>#,##0.0</c:formatCode>
                <c:ptCount val="5"/>
                <c:pt idx="0">
                  <c:v>28.811477937894345</c:v>
                </c:pt>
                <c:pt idx="1">
                  <c:v>22.993924897730487</c:v>
                </c:pt>
                <c:pt idx="2">
                  <c:v>18.053948035436093</c:v>
                </c:pt>
                <c:pt idx="3">
                  <c:v>12.927736338780623</c:v>
                </c:pt>
                <c:pt idx="4">
                  <c:v>10.839818533742759</c:v>
                </c:pt>
              </c:numCache>
            </c:numRef>
          </c:yVal>
          <c:smooth val="1"/>
          <c:extLst>
            <c:ext xmlns:c16="http://schemas.microsoft.com/office/drawing/2014/chart" uri="{C3380CC4-5D6E-409C-BE32-E72D297353CC}">
              <c16:uniqueId val="{00000001-6E45-43C0-B853-A04F01E91C54}"/>
            </c:ext>
          </c:extLst>
        </c:ser>
        <c:ser>
          <c:idx val="1"/>
          <c:order val="1"/>
          <c:tx>
            <c:strRef>
              <c:f>Summary!$J$10</c:f>
              <c:strCache>
                <c:ptCount val="1"/>
                <c:pt idx="0">
                  <c:v>"Cube Rule" kW</c:v>
                </c:pt>
              </c:strCache>
            </c:strRef>
          </c:tx>
          <c:spPr>
            <a:ln w="76200" cap="rnd">
              <a:solidFill>
                <a:srgbClr val="00B0F0">
                  <a:alpha val="50000"/>
                </a:srgbClr>
              </a:solidFill>
              <a:round/>
            </a:ln>
            <a:effectLst/>
          </c:spPr>
          <c:marker>
            <c:symbol val="none"/>
          </c:marker>
          <c:xVal>
            <c:numRef>
              <c:f>Summary!$B$11:$B$15</c:f>
              <c:numCache>
                <c:formatCode>#,##0.0</c:formatCode>
                <c:ptCount val="5"/>
                <c:pt idx="0">
                  <c:v>1300</c:v>
                </c:pt>
                <c:pt idx="1">
                  <c:v>975</c:v>
                </c:pt>
                <c:pt idx="2">
                  <c:v>650</c:v>
                </c:pt>
                <c:pt idx="3">
                  <c:v>325</c:v>
                </c:pt>
                <c:pt idx="4">
                  <c:v>162.5</c:v>
                </c:pt>
              </c:numCache>
            </c:numRef>
          </c:xVal>
          <c:yVal>
            <c:numRef>
              <c:f>Summary!$J$11:$J$15</c:f>
              <c:numCache>
                <c:formatCode>#,##0.0</c:formatCode>
                <c:ptCount val="5"/>
                <c:pt idx="0">
                  <c:v>28.811477937894345</c:v>
                </c:pt>
                <c:pt idx="1">
                  <c:v>12.154842255049177</c:v>
                </c:pt>
                <c:pt idx="2">
                  <c:v>3.6014347422367932</c:v>
                </c:pt>
                <c:pt idx="3">
                  <c:v>0.45017934277959915</c:v>
                </c:pt>
                <c:pt idx="4">
                  <c:v>5.6272417847449893E-2</c:v>
                </c:pt>
              </c:numCache>
            </c:numRef>
          </c:yVal>
          <c:smooth val="1"/>
          <c:extLst>
            <c:ext xmlns:c16="http://schemas.microsoft.com/office/drawing/2014/chart" uri="{C3380CC4-5D6E-409C-BE32-E72D297353CC}">
              <c16:uniqueId val="{00000002-6E45-43C0-B853-A04F01E91C54}"/>
            </c:ext>
          </c:extLst>
        </c:ser>
        <c:ser>
          <c:idx val="2"/>
          <c:order val="2"/>
          <c:tx>
            <c:strRef>
              <c:f>Summary!$K$10</c:f>
              <c:strCache>
                <c:ptCount val="1"/>
                <c:pt idx="0">
                  <c:v>kW vs. Flow2.4</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Summary!$B$11:$B$15</c:f>
              <c:numCache>
                <c:formatCode>#,##0.0</c:formatCode>
                <c:ptCount val="5"/>
                <c:pt idx="0">
                  <c:v>1300</c:v>
                </c:pt>
                <c:pt idx="1">
                  <c:v>975</c:v>
                </c:pt>
                <c:pt idx="2">
                  <c:v>650</c:v>
                </c:pt>
                <c:pt idx="3">
                  <c:v>325</c:v>
                </c:pt>
                <c:pt idx="4">
                  <c:v>162.5</c:v>
                </c:pt>
              </c:numCache>
            </c:numRef>
          </c:xVal>
          <c:yVal>
            <c:numRef>
              <c:f>Summary!$K$11:$K$15</c:f>
              <c:numCache>
                <c:formatCode>#,##0.0</c:formatCode>
                <c:ptCount val="5"/>
                <c:pt idx="0">
                  <c:v>28.811477937894345</c:v>
                </c:pt>
                <c:pt idx="1">
                  <c:v>14.444834453359803</c:v>
                </c:pt>
                <c:pt idx="2">
                  <c:v>5.4587543020144125</c:v>
                </c:pt>
                <c:pt idx="3">
                  <c:v>1.0342405410091438</c:v>
                </c:pt>
                <c:pt idx="4">
                  <c:v>0.19595194022052953</c:v>
                </c:pt>
              </c:numCache>
            </c:numRef>
          </c:yVal>
          <c:smooth val="1"/>
          <c:extLst>
            <c:ext xmlns:c16="http://schemas.microsoft.com/office/drawing/2014/chart" uri="{C3380CC4-5D6E-409C-BE32-E72D297353CC}">
              <c16:uniqueId val="{00000003-6E45-43C0-B853-A04F01E91C54}"/>
            </c:ext>
          </c:extLst>
        </c:ser>
        <c:ser>
          <c:idx val="3"/>
          <c:order val="3"/>
          <c:tx>
            <c:strRef>
              <c:f>Summary!$L$10</c:f>
              <c:strCache>
                <c:ptCount val="1"/>
                <c:pt idx="0">
                  <c:v>kW vs. Flow2.0</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Summary!$B$11:$B$15</c:f>
              <c:numCache>
                <c:formatCode>#,##0.0</c:formatCode>
                <c:ptCount val="5"/>
                <c:pt idx="0">
                  <c:v>1300</c:v>
                </c:pt>
                <c:pt idx="1">
                  <c:v>975</c:v>
                </c:pt>
                <c:pt idx="2">
                  <c:v>650</c:v>
                </c:pt>
                <c:pt idx="3">
                  <c:v>325</c:v>
                </c:pt>
                <c:pt idx="4">
                  <c:v>162.5</c:v>
                </c:pt>
              </c:numCache>
            </c:numRef>
          </c:xVal>
          <c:yVal>
            <c:numRef>
              <c:f>Summary!$L$11:$L$15</c:f>
              <c:numCache>
                <c:formatCode>#,##0.0</c:formatCode>
                <c:ptCount val="5"/>
                <c:pt idx="0">
                  <c:v>28.811477937894345</c:v>
                </c:pt>
                <c:pt idx="1">
                  <c:v>16.206456340065568</c:v>
                </c:pt>
                <c:pt idx="2">
                  <c:v>7.2028694844735863</c:v>
                </c:pt>
                <c:pt idx="3">
                  <c:v>1.8007173711183966</c:v>
                </c:pt>
                <c:pt idx="4">
                  <c:v>0.45017934277959915</c:v>
                </c:pt>
              </c:numCache>
            </c:numRef>
          </c:yVal>
          <c:smooth val="1"/>
          <c:extLst>
            <c:ext xmlns:c16="http://schemas.microsoft.com/office/drawing/2014/chart" uri="{C3380CC4-5D6E-409C-BE32-E72D297353CC}">
              <c16:uniqueId val="{00000004-6E45-43C0-B853-A04F01E91C54}"/>
            </c:ext>
          </c:extLst>
        </c:ser>
        <c:ser>
          <c:idx val="4"/>
          <c:order val="4"/>
          <c:tx>
            <c:strRef>
              <c:f>Summary!$M$10</c:f>
              <c:strCache>
                <c:ptCount val="1"/>
                <c:pt idx="0">
                  <c:v>kW vs. Flow1.5</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Summary!$B$11:$B$15</c:f>
              <c:numCache>
                <c:formatCode>#,##0.0</c:formatCode>
                <c:ptCount val="5"/>
                <c:pt idx="0">
                  <c:v>1300</c:v>
                </c:pt>
                <c:pt idx="1">
                  <c:v>975</c:v>
                </c:pt>
                <c:pt idx="2">
                  <c:v>650</c:v>
                </c:pt>
                <c:pt idx="3">
                  <c:v>325</c:v>
                </c:pt>
                <c:pt idx="4">
                  <c:v>162.5</c:v>
                </c:pt>
              </c:numCache>
            </c:numRef>
          </c:xVal>
          <c:yVal>
            <c:numRef>
              <c:f>Summary!$M$11:$M$15</c:f>
              <c:numCache>
                <c:formatCode>#,##0.0</c:formatCode>
                <c:ptCount val="5"/>
                <c:pt idx="0">
                  <c:v>28.811477937894345</c:v>
                </c:pt>
                <c:pt idx="1">
                  <c:v>18.713603861093549</c:v>
                </c:pt>
                <c:pt idx="2">
                  <c:v>10.186395712945849</c:v>
                </c:pt>
                <c:pt idx="3">
                  <c:v>3.6014347422367941</c:v>
                </c:pt>
                <c:pt idx="4">
                  <c:v>1.2732994641182318</c:v>
                </c:pt>
              </c:numCache>
            </c:numRef>
          </c:yVal>
          <c:smooth val="1"/>
          <c:extLst>
            <c:ext xmlns:c16="http://schemas.microsoft.com/office/drawing/2014/chart" uri="{C3380CC4-5D6E-409C-BE32-E72D297353CC}">
              <c16:uniqueId val="{00000005-6E45-43C0-B853-A04F01E91C54}"/>
            </c:ext>
          </c:extLst>
        </c:ser>
        <c:dLbls>
          <c:showLegendKey val="0"/>
          <c:showVal val="0"/>
          <c:showCatName val="0"/>
          <c:showSerName val="0"/>
          <c:showPercent val="0"/>
          <c:showBubbleSize val="0"/>
        </c:dLbls>
        <c:axId val="1025887824"/>
        <c:axId val="1025889392"/>
      </c:scatterChart>
      <c:valAx>
        <c:axId val="1025887824"/>
        <c:scaling>
          <c:orientation val="minMax"/>
          <c:max val="14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Flow, gpm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89392"/>
        <c:crosses val="autoZero"/>
        <c:crossBetween val="midCat"/>
        <c:majorUnit val="200"/>
        <c:minorUnit val="50"/>
      </c:valAx>
      <c:valAx>
        <c:axId val="1025889392"/>
        <c:scaling>
          <c:orientation val="minMax"/>
          <c:max val="3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Pump</a:t>
                </a:r>
                <a:r>
                  <a:rPr lang="en-US" baseline="0"/>
                  <a:t> Power, kW</a:t>
                </a:r>
                <a:endParaRPr lang="en-US"/>
              </a:p>
            </c:rich>
          </c:tx>
          <c:layout>
            <c:manualLayout>
              <c:xMode val="edge"/>
              <c:yMode val="edge"/>
              <c:x val="7.5930144267274107E-3"/>
              <c:y val="0.311515461425497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87824"/>
        <c:crosses val="autoZero"/>
        <c:crossBetween val="midCat"/>
        <c:majorUnit val="10"/>
        <c:min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Head vs.</a:t>
            </a:r>
            <a:r>
              <a:rPr lang="en-US" baseline="0"/>
              <a:t> Flow</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smoothMarker"/>
        <c:varyColors val="0"/>
        <c:ser>
          <c:idx val="0"/>
          <c:order val="0"/>
          <c:tx>
            <c:v>Head vs. Flow</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forward val="100"/>
            <c:backward val="200"/>
            <c:dispRSqr val="1"/>
            <c:dispEq val="1"/>
            <c:trendlineLbl>
              <c:layout>
                <c:manualLayout>
                  <c:x val="-1.6333367419981593E-2"/>
                  <c:y val="0.48079722467609626"/>
                </c:manualLayout>
              </c:layout>
              <c:numFmt formatCode="#,##0.0000000000000000" sourceLinked="0"/>
              <c:spPr>
                <a:noFill/>
                <a:ln>
                  <a:noFill/>
                </a:ln>
                <a:effectLst/>
              </c:spPr>
              <c:txPr>
                <a:bodyPr rot="0" spcFirstLastPara="1" vertOverflow="ellipsis" vert="horz" wrap="square" anchor="ctr" anchorCtr="1"/>
                <a:lstStyle/>
                <a:p>
                  <a:pPr>
                    <a:defRPr sz="1200" b="0" i="0" u="none" strike="noStrike" kern="1200" baseline="0">
                      <a:solidFill>
                        <a:srgbClr val="FF0000"/>
                      </a:solidFill>
                      <a:latin typeface="Comic Sans MS" panose="030F0702030302020204" pitchFamily="66" charset="0"/>
                      <a:ea typeface="+mn-ea"/>
                      <a:cs typeface="+mn-cs"/>
                    </a:defRPr>
                  </a:pPr>
                  <a:endParaRPr lang="en-US"/>
                </a:p>
              </c:txPr>
            </c:trendlineLbl>
          </c:trendline>
          <c:xVal>
            <c:numRef>
              <c:f>Summary!$B$11:$B$15</c:f>
              <c:numCache>
                <c:formatCode>#,##0.0</c:formatCode>
                <c:ptCount val="5"/>
                <c:pt idx="0">
                  <c:v>1300</c:v>
                </c:pt>
                <c:pt idx="1">
                  <c:v>975</c:v>
                </c:pt>
                <c:pt idx="2">
                  <c:v>650</c:v>
                </c:pt>
                <c:pt idx="3">
                  <c:v>325</c:v>
                </c:pt>
                <c:pt idx="4">
                  <c:v>162.5</c:v>
                </c:pt>
              </c:numCache>
            </c:numRef>
          </c:xVal>
          <c:yVal>
            <c:numRef>
              <c:f>Summary!$N$11:$N$15</c:f>
              <c:numCache>
                <c:formatCode>#,##0.0</c:formatCode>
                <c:ptCount val="5"/>
                <c:pt idx="0">
                  <c:v>70</c:v>
                </c:pt>
                <c:pt idx="1">
                  <c:v>70</c:v>
                </c:pt>
                <c:pt idx="2">
                  <c:v>70</c:v>
                </c:pt>
                <c:pt idx="3">
                  <c:v>70</c:v>
                </c:pt>
                <c:pt idx="4">
                  <c:v>70</c:v>
                </c:pt>
              </c:numCache>
            </c:numRef>
          </c:yVal>
          <c:smooth val="1"/>
          <c:extLst>
            <c:ext xmlns:c16="http://schemas.microsoft.com/office/drawing/2014/chart" uri="{C3380CC4-5D6E-409C-BE32-E72D297353CC}">
              <c16:uniqueId val="{00000001-B2E5-4A84-9154-C6FE3F654CDC}"/>
            </c:ext>
          </c:extLst>
        </c:ser>
        <c:ser>
          <c:idx val="1"/>
          <c:order val="1"/>
          <c:tx>
            <c:v>Square Law</c:v>
          </c:tx>
          <c:spPr>
            <a:ln w="76200" cap="rnd">
              <a:solidFill>
                <a:schemeClr val="accent3">
                  <a:alpha val="25000"/>
                </a:schemeClr>
              </a:solidFill>
              <a:round/>
            </a:ln>
            <a:effectLst/>
          </c:spPr>
          <c:marker>
            <c:symbol val="none"/>
          </c:marker>
          <c:xVal>
            <c:numRef>
              <c:f>[2]Summary!$B$11:$B$15</c:f>
              <c:numCache>
                <c:formatCode>General</c:formatCode>
                <c:ptCount val="5"/>
                <c:pt idx="0">
                  <c:v>1300</c:v>
                </c:pt>
                <c:pt idx="1">
                  <c:v>975</c:v>
                </c:pt>
                <c:pt idx="2">
                  <c:v>650</c:v>
                </c:pt>
                <c:pt idx="3">
                  <c:v>325</c:v>
                </c:pt>
                <c:pt idx="4">
                  <c:v>162.5</c:v>
                </c:pt>
              </c:numCache>
            </c:numRef>
          </c:xVal>
          <c:yVal>
            <c:numRef>
              <c:f>[2]Summary!$N$11:$N$15</c:f>
              <c:numCache>
                <c:formatCode>General</c:formatCode>
                <c:ptCount val="5"/>
                <c:pt idx="0">
                  <c:v>70</c:v>
                </c:pt>
                <c:pt idx="1">
                  <c:v>52.5</c:v>
                </c:pt>
                <c:pt idx="2">
                  <c:v>40</c:v>
                </c:pt>
                <c:pt idx="3">
                  <c:v>32.5</c:v>
                </c:pt>
                <c:pt idx="4">
                  <c:v>30.625</c:v>
                </c:pt>
              </c:numCache>
            </c:numRef>
          </c:yVal>
          <c:smooth val="1"/>
          <c:extLst>
            <c:ext xmlns:c16="http://schemas.microsoft.com/office/drawing/2014/chart" uri="{C3380CC4-5D6E-409C-BE32-E72D297353CC}">
              <c16:uniqueId val="{00000002-B2E5-4A84-9154-C6FE3F654CDC}"/>
            </c:ext>
          </c:extLst>
        </c:ser>
        <c:dLbls>
          <c:showLegendKey val="0"/>
          <c:showVal val="0"/>
          <c:showCatName val="0"/>
          <c:showSerName val="0"/>
          <c:showPercent val="0"/>
          <c:showBubbleSize val="0"/>
        </c:dLbls>
        <c:axId val="1025890960"/>
        <c:axId val="1025881944"/>
      </c:scatterChart>
      <c:valAx>
        <c:axId val="1025890960"/>
        <c:scaling>
          <c:orientation val="minMax"/>
          <c:max val="14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Flow, gpm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81944"/>
        <c:crosses val="autoZero"/>
        <c:crossBetween val="midCat"/>
        <c:majorUnit val="200"/>
        <c:minorUnit val="50"/>
      </c:valAx>
      <c:valAx>
        <c:axId val="1025881944"/>
        <c:scaling>
          <c:orientation val="minMax"/>
          <c:max val="8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Pump</a:t>
                </a:r>
                <a:r>
                  <a:rPr lang="en-US" baseline="0"/>
                  <a:t> Power, kW</a:t>
                </a:r>
                <a:endParaRPr lang="en-US"/>
              </a:p>
            </c:rich>
          </c:tx>
          <c:layout>
            <c:manualLayout>
              <c:xMode val="edge"/>
              <c:yMode val="edge"/>
              <c:x val="7.5930144267274107E-3"/>
              <c:y val="0.311515461425497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90960"/>
        <c:crosses val="autoZero"/>
        <c:crossBetween val="midCat"/>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38833729776019E-2"/>
          <c:y val="2.6994989262705799E-2"/>
          <c:w val="0.87294855776431957"/>
          <c:h val="0.75765258888093545"/>
        </c:manualLayout>
      </c:layout>
      <c:scatterChart>
        <c:scatterStyle val="lineMarker"/>
        <c:varyColors val="0"/>
        <c:ser>
          <c:idx val="0"/>
          <c:order val="0"/>
          <c:tx>
            <c:v>Efficiency Part 1</c:v>
          </c:tx>
          <c:spPr>
            <a:ln w="19050" cap="rnd">
              <a:solidFill>
                <a:schemeClr val="accent1"/>
              </a:solidFill>
              <a:prstDash val="dash"/>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0.13346666526544185"/>
                  <c:y val="0.37689318380656961"/>
                </c:manualLayout>
              </c:layout>
              <c:numFmt formatCode="#,##0.0000000000000000" sourceLinked="0"/>
              <c:spPr>
                <a:noFill/>
                <a:ln>
                  <a:noFill/>
                </a:ln>
                <a:effectLst/>
              </c:spPr>
              <c:txPr>
                <a:bodyPr rot="0" spcFirstLastPara="1" vertOverflow="ellipsis" vert="horz" wrap="square" anchor="ctr" anchorCtr="1"/>
                <a:lstStyle/>
                <a:p>
                  <a:pPr>
                    <a:defRPr sz="1200" b="0" i="0" u="none" strike="noStrike" kern="1200" baseline="0">
                      <a:solidFill>
                        <a:schemeClr val="accent1"/>
                      </a:solidFill>
                      <a:latin typeface="Comic Sans MS" panose="030F0702030302020204" pitchFamily="66" charset="0"/>
                      <a:ea typeface="+mn-ea"/>
                      <a:cs typeface="+mn-cs"/>
                    </a:defRPr>
                  </a:pPr>
                  <a:endParaRPr lang="en-US"/>
                </a:p>
              </c:txPr>
            </c:trendlineLbl>
          </c:trendline>
          <c:xVal>
            <c:numRef>
              <c:f>'Motor Eff Data'!$E$21:$E$27</c:f>
              <c:numCache>
                <c:formatCode>#,##0.00</c:formatCode>
                <c:ptCount val="7"/>
                <c:pt idx="0">
                  <c:v>0.1506024</c:v>
                </c:pt>
                <c:pt idx="1">
                  <c:v>0.37650600000000001</c:v>
                </c:pt>
                <c:pt idx="2">
                  <c:v>0.64006079999999987</c:v>
                </c:pt>
                <c:pt idx="3">
                  <c:v>1.0542168000000001</c:v>
                </c:pt>
                <c:pt idx="4">
                  <c:v>1.581324</c:v>
                </c:pt>
                <c:pt idx="5">
                  <c:v>2.1084360000000002</c:v>
                </c:pt>
                <c:pt idx="6">
                  <c:v>2.7108479999999999</c:v>
                </c:pt>
              </c:numCache>
            </c:numRef>
          </c:xVal>
          <c:yVal>
            <c:numRef>
              <c:f>'Motor Eff Data'!$F$21:$F$27</c:f>
              <c:numCache>
                <c:formatCode>0.0%</c:formatCode>
                <c:ptCount val="7"/>
                <c:pt idx="0">
                  <c:v>0.19802592901265864</c:v>
                </c:pt>
                <c:pt idx="1">
                  <c:v>0.39189569362718168</c:v>
                </c:pt>
                <c:pt idx="2">
                  <c:v>0.50416677996301107</c:v>
                </c:pt>
                <c:pt idx="3">
                  <c:v>0.60974366164402782</c:v>
                </c:pt>
                <c:pt idx="4">
                  <c:v>0.69553223858186275</c:v>
                </c:pt>
                <c:pt idx="5">
                  <c:v>0.75640071790671726</c:v>
                </c:pt>
                <c:pt idx="6">
                  <c:v>0.80957422491663023</c:v>
                </c:pt>
              </c:numCache>
            </c:numRef>
          </c:yVal>
          <c:smooth val="0"/>
          <c:extLst>
            <c:ext xmlns:c16="http://schemas.microsoft.com/office/drawing/2014/chart" uri="{C3380CC4-5D6E-409C-BE32-E72D297353CC}">
              <c16:uniqueId val="{00000001-0B2F-44D6-B444-757F8E32323F}"/>
            </c:ext>
          </c:extLst>
        </c:ser>
        <c:ser>
          <c:idx val="1"/>
          <c:order val="1"/>
          <c:tx>
            <c:v>Efficiency Part 2</c:v>
          </c:tx>
          <c:spPr>
            <a:ln w="19050" cap="rnd">
              <a:solidFill>
                <a:schemeClr val="accent3"/>
              </a:solidFill>
              <a:prstDash val="dash"/>
              <a:round/>
            </a:ln>
            <a:effectLst/>
          </c:spPr>
          <c:marker>
            <c:symbol val="circle"/>
            <c:size val="5"/>
            <c:spPr>
              <a:noFill/>
              <a:ln w="9525">
                <a:solidFill>
                  <a:schemeClr val="accent3"/>
                </a:solidFill>
              </a:ln>
              <a:effectLst/>
            </c:spPr>
          </c:marker>
          <c:trendline>
            <c:spPr>
              <a:ln w="19050" cap="rnd">
                <a:solidFill>
                  <a:schemeClr val="accent3"/>
                </a:solidFill>
                <a:prstDash val="sysDot"/>
              </a:ln>
              <a:effectLst/>
            </c:spPr>
            <c:trendlineType val="poly"/>
            <c:order val="4"/>
            <c:dispRSqr val="1"/>
            <c:dispEq val="1"/>
            <c:trendlineLbl>
              <c:layout>
                <c:manualLayout>
                  <c:x val="0.14519999847559056"/>
                  <c:y val="0.21818277260796945"/>
                </c:manualLayout>
              </c:layout>
              <c:numFmt formatCode="#,##0.00000000000000000000" sourceLinked="0"/>
              <c:spPr>
                <a:noFill/>
                <a:ln>
                  <a:noFill/>
                </a:ln>
                <a:effectLst/>
              </c:spPr>
              <c:txPr>
                <a:bodyPr rot="0" spcFirstLastPara="1" vertOverflow="ellipsis" vert="horz" wrap="square" anchor="ctr" anchorCtr="1"/>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trendlineLbl>
          </c:trendline>
          <c:xVal>
            <c:numRef>
              <c:f>'Motor Eff Data'!$E$27:$E$38</c:f>
              <c:numCache>
                <c:formatCode>#,##0.00</c:formatCode>
                <c:ptCount val="12"/>
                <c:pt idx="0">
                  <c:v>2.7108479999999999</c:v>
                </c:pt>
                <c:pt idx="1">
                  <c:v>3.6897600000000002</c:v>
                </c:pt>
                <c:pt idx="2">
                  <c:v>4.6310279999999997</c:v>
                </c:pt>
                <c:pt idx="3">
                  <c:v>6.1370519999999997</c:v>
                </c:pt>
                <c:pt idx="4">
                  <c:v>7.7183759999999992</c:v>
                </c:pt>
                <c:pt idx="5">
                  <c:v>9.375</c:v>
                </c:pt>
                <c:pt idx="6">
                  <c:v>12.010560000000002</c:v>
                </c:pt>
                <c:pt idx="7">
                  <c:v>16.566239999999997</c:v>
                </c:pt>
                <c:pt idx="8">
                  <c:v>19.879559999999998</c:v>
                </c:pt>
                <c:pt idx="9">
                  <c:v>25.376519999999999</c:v>
                </c:pt>
                <c:pt idx="10">
                  <c:v>29.555759999999999</c:v>
                </c:pt>
                <c:pt idx="11">
                  <c:v>34.412639999999996</c:v>
                </c:pt>
              </c:numCache>
            </c:numRef>
          </c:xVal>
          <c:yVal>
            <c:numRef>
              <c:f>'Motor Eff Data'!$F$27:$F$38</c:f>
              <c:numCache>
                <c:formatCode>0.0%</c:formatCode>
                <c:ptCount val="12"/>
                <c:pt idx="0">
                  <c:v>0.80957422491663023</c:v>
                </c:pt>
                <c:pt idx="1">
                  <c:v>0.83514632857082549</c:v>
                </c:pt>
                <c:pt idx="2">
                  <c:v>0.85869495765556025</c:v>
                </c:pt>
                <c:pt idx="3">
                  <c:v>0.88827282336841118</c:v>
                </c:pt>
                <c:pt idx="4">
                  <c:v>0.91030746625962455</c:v>
                </c:pt>
                <c:pt idx="5">
                  <c:v>0.92549644249509633</c:v>
                </c:pt>
                <c:pt idx="6">
                  <c:v>0.93763346247204471</c:v>
                </c:pt>
                <c:pt idx="7">
                  <c:v>0.93995975337238058</c:v>
                </c:pt>
                <c:pt idx="8">
                  <c:v>0.9377021943367424</c:v>
                </c:pt>
                <c:pt idx="9">
                  <c:v>0.93871513039223786</c:v>
                </c:pt>
                <c:pt idx="10">
                  <c:v>0.94112171541555034</c:v>
                </c:pt>
                <c:pt idx="11">
                  <c:v>0.92784934020012688</c:v>
                </c:pt>
              </c:numCache>
            </c:numRef>
          </c:yVal>
          <c:smooth val="0"/>
          <c:extLst>
            <c:ext xmlns:c16="http://schemas.microsoft.com/office/drawing/2014/chart" uri="{C3380CC4-5D6E-409C-BE32-E72D297353CC}">
              <c16:uniqueId val="{00000003-0B2F-44D6-B444-757F8E32323F}"/>
            </c:ext>
          </c:extLst>
        </c:ser>
        <c:ser>
          <c:idx val="2"/>
          <c:order val="2"/>
          <c:tx>
            <c:v>Efficiency from Equations</c:v>
          </c:tx>
          <c:spPr>
            <a:ln w="19050" cap="rnd">
              <a:solidFill>
                <a:schemeClr val="accent4"/>
              </a:solidFill>
              <a:prstDash val="sysDot"/>
              <a:round/>
            </a:ln>
            <a:effectLst/>
          </c:spPr>
          <c:marker>
            <c:symbol val="triangle"/>
            <c:size val="5"/>
            <c:spPr>
              <a:solidFill>
                <a:schemeClr val="accent4"/>
              </a:solidFill>
              <a:ln w="9525">
                <a:solidFill>
                  <a:schemeClr val="accent4"/>
                </a:solidFill>
              </a:ln>
              <a:effectLst/>
            </c:spPr>
          </c:marker>
          <c:xVal>
            <c:numRef>
              <c:f>'Motor Eff Data'!$E$21:$E$38</c:f>
              <c:numCache>
                <c:formatCode>#,##0.00</c:formatCode>
                <c:ptCount val="18"/>
                <c:pt idx="0">
                  <c:v>0.1506024</c:v>
                </c:pt>
                <c:pt idx="1">
                  <c:v>0.37650600000000001</c:v>
                </c:pt>
                <c:pt idx="2">
                  <c:v>0.64006079999999987</c:v>
                </c:pt>
                <c:pt idx="3">
                  <c:v>1.0542168000000001</c:v>
                </c:pt>
                <c:pt idx="4">
                  <c:v>1.581324</c:v>
                </c:pt>
                <c:pt idx="5">
                  <c:v>2.1084360000000002</c:v>
                </c:pt>
                <c:pt idx="6">
                  <c:v>2.7108479999999999</c:v>
                </c:pt>
                <c:pt idx="7">
                  <c:v>3.6897600000000002</c:v>
                </c:pt>
                <c:pt idx="8">
                  <c:v>4.6310279999999997</c:v>
                </c:pt>
                <c:pt idx="9">
                  <c:v>6.1370519999999997</c:v>
                </c:pt>
                <c:pt idx="10">
                  <c:v>7.7183759999999992</c:v>
                </c:pt>
                <c:pt idx="11">
                  <c:v>9.375</c:v>
                </c:pt>
                <c:pt idx="12">
                  <c:v>12.010560000000002</c:v>
                </c:pt>
                <c:pt idx="13">
                  <c:v>16.566239999999997</c:v>
                </c:pt>
                <c:pt idx="14">
                  <c:v>19.879559999999998</c:v>
                </c:pt>
                <c:pt idx="15">
                  <c:v>25.376519999999999</c:v>
                </c:pt>
                <c:pt idx="16">
                  <c:v>29.555759999999999</c:v>
                </c:pt>
                <c:pt idx="17">
                  <c:v>34.412639999999996</c:v>
                </c:pt>
              </c:numCache>
            </c:numRef>
          </c:xVal>
          <c:yVal>
            <c:numRef>
              <c:f>'Motor Eff Data'!$G$21:$G$38</c:f>
              <c:numCache>
                <c:formatCode>0.0%</c:formatCode>
                <c:ptCount val="18"/>
                <c:pt idx="0">
                  <c:v>0.19802592901265842</c:v>
                </c:pt>
                <c:pt idx="1">
                  <c:v>0.39189569362718157</c:v>
                </c:pt>
                <c:pt idx="2">
                  <c:v>0.50416677996301107</c:v>
                </c:pt>
                <c:pt idx="3">
                  <c:v>0.60974366164402793</c:v>
                </c:pt>
                <c:pt idx="4">
                  <c:v>0.69553223858186297</c:v>
                </c:pt>
                <c:pt idx="5">
                  <c:v>0.75640071790671759</c:v>
                </c:pt>
                <c:pt idx="6">
                  <c:v>0.80957422491663045</c:v>
                </c:pt>
                <c:pt idx="7">
                  <c:v>0.83651939705824774</c:v>
                </c:pt>
                <c:pt idx="8">
                  <c:v>0.85945760442127672</c:v>
                </c:pt>
                <c:pt idx="9">
                  <c:v>0.88835658405692919</c:v>
                </c:pt>
                <c:pt idx="10">
                  <c:v>0.90999664474045583</c:v>
                </c:pt>
                <c:pt idx="11">
                  <c:v>0.92503274490817911</c:v>
                </c:pt>
                <c:pt idx="12">
                  <c:v>0.9372750214292267</c:v>
                </c:pt>
                <c:pt idx="13">
                  <c:v>0.94011293138315433</c:v>
                </c:pt>
                <c:pt idx="14">
                  <c:v>0.93806473972468296</c:v>
                </c:pt>
                <c:pt idx="15">
                  <c:v>0.93879266996279076</c:v>
                </c:pt>
                <c:pt idx="16">
                  <c:v>0.94078696012063967</c:v>
                </c:pt>
                <c:pt idx="17">
                  <c:v>0.92796815666684729</c:v>
                </c:pt>
              </c:numCache>
            </c:numRef>
          </c:yVal>
          <c:smooth val="0"/>
          <c:extLst>
            <c:ext xmlns:c16="http://schemas.microsoft.com/office/drawing/2014/chart" uri="{C3380CC4-5D6E-409C-BE32-E72D297353CC}">
              <c16:uniqueId val="{00000004-0B2F-44D6-B444-757F8E32323F}"/>
            </c:ext>
          </c:extLst>
        </c:ser>
        <c:dLbls>
          <c:showLegendKey val="0"/>
          <c:showVal val="0"/>
          <c:showCatName val="0"/>
          <c:showSerName val="0"/>
          <c:showPercent val="0"/>
          <c:showBubbleSize val="0"/>
        </c:dLbls>
        <c:axId val="1025892920"/>
        <c:axId val="1025884688"/>
      </c:scatterChart>
      <c:valAx>
        <c:axId val="102589292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out"/>
        <c:minorTickMark val="out"/>
        <c:tickLblPos val="nextTo"/>
        <c:spPr>
          <a:noFill/>
          <a:ln w="25400" cap="flat" cmpd="sng" algn="ctr">
            <a:solidFill>
              <a:schemeClr val="bg2"/>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84688"/>
        <c:crosses val="autoZero"/>
        <c:crossBetween val="midCat"/>
      </c:valAx>
      <c:valAx>
        <c:axId val="1025884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92920"/>
        <c:crosses val="autoZero"/>
        <c:crossBetween val="midCat"/>
        <c:minorUnit val="5.000000000000001E-2"/>
      </c:valAx>
      <c:spPr>
        <a:noFill/>
        <a:ln>
          <a:noFill/>
        </a:ln>
        <a:effectLst/>
      </c:spPr>
    </c:plotArea>
    <c:legend>
      <c:legendPos val="b"/>
      <c:layout>
        <c:manualLayout>
          <c:xMode val="edge"/>
          <c:yMode val="edge"/>
          <c:x val="4.8533385317234799E-2"/>
          <c:y val="0.86553996659508459"/>
          <c:w val="0.89999989606299324"/>
          <c:h val="0.120318619263501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'VFD Data &gt;= 20 hp'!$B$47:$K$47</c:f>
              <c:numCache>
                <c:formatCode>#,##0.00</c:formatCode>
                <c:ptCount val="10"/>
                <c:pt idx="0">
                  <c:v>0.32</c:v>
                </c:pt>
                <c:pt idx="1">
                  <c:v>2.5</c:v>
                </c:pt>
                <c:pt idx="2">
                  <c:v>5</c:v>
                </c:pt>
                <c:pt idx="3">
                  <c:v>8.4</c:v>
                </c:pt>
                <c:pt idx="4">
                  <c:v>10</c:v>
                </c:pt>
                <c:pt idx="5">
                  <c:v>15</c:v>
                </c:pt>
                <c:pt idx="9">
                  <c:v>20</c:v>
                </c:pt>
              </c:numCache>
            </c:numRef>
          </c:xVal>
          <c:yVal>
            <c:numRef>
              <c:f>'VFD Data &gt;= 20 hp'!$B$48:$K$48</c:f>
              <c:numCache>
                <c:formatCode>0.00%</c:formatCode>
                <c:ptCount val="10"/>
                <c:pt idx="0">
                  <c:v>0.47</c:v>
                </c:pt>
                <c:pt idx="1">
                  <c:v>0.86</c:v>
                </c:pt>
                <c:pt idx="2">
                  <c:v>0.93</c:v>
                </c:pt>
                <c:pt idx="3">
                  <c:v>0.94</c:v>
                </c:pt>
                <c:pt idx="4">
                  <c:v>0.95</c:v>
                </c:pt>
                <c:pt idx="5">
                  <c:v>0.96</c:v>
                </c:pt>
                <c:pt idx="9">
                  <c:v>0.97</c:v>
                </c:pt>
              </c:numCache>
            </c:numRef>
          </c:yVal>
          <c:smooth val="0"/>
          <c:extLst>
            <c:ext xmlns:c16="http://schemas.microsoft.com/office/drawing/2014/chart" uri="{C3380CC4-5D6E-409C-BE32-E72D297353CC}">
              <c16:uniqueId val="{00000000-AAE4-4190-90BA-71DE8C9DE1FE}"/>
            </c:ext>
          </c:extLst>
        </c:ser>
        <c:dLbls>
          <c:showLegendKey val="0"/>
          <c:showVal val="0"/>
          <c:showCatName val="0"/>
          <c:showSerName val="0"/>
          <c:showPercent val="0"/>
          <c:showBubbleSize val="0"/>
        </c:dLbls>
        <c:axId val="1025899584"/>
        <c:axId val="1025900368"/>
      </c:scatterChart>
      <c:valAx>
        <c:axId val="102589958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900368"/>
        <c:crosses val="autoZero"/>
        <c:crossBetween val="midCat"/>
      </c:valAx>
      <c:valAx>
        <c:axId val="10259003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8995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238833729776019E-2"/>
          <c:y val="2.6994989262705799E-2"/>
          <c:w val="0.87294855776431957"/>
          <c:h val="0.75765258888093545"/>
        </c:manualLayout>
      </c:layout>
      <c:scatterChart>
        <c:scatterStyle val="lineMarker"/>
        <c:varyColors val="0"/>
        <c:ser>
          <c:idx val="0"/>
          <c:order val="0"/>
          <c:tx>
            <c:v>Efficiency Part 1</c:v>
          </c:tx>
          <c:spPr>
            <a:ln w="19050" cap="rnd">
              <a:solidFill>
                <a:schemeClr val="accent1"/>
              </a:solidFill>
              <a:prstDash val="dash"/>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1413333108521437"/>
                  <c:y val="0.11501725920623558"/>
                </c:manualLayout>
              </c:layout>
              <c:numFmt formatCode="#,##0.0000000000000000" sourceLinked="0"/>
              <c:spPr>
                <a:noFill/>
                <a:ln>
                  <a:noFill/>
                </a:ln>
                <a:effectLst/>
              </c:spPr>
              <c:txPr>
                <a:bodyPr rot="0" spcFirstLastPara="1" vertOverflow="ellipsis" vert="horz" wrap="square" anchor="ctr" anchorCtr="1"/>
                <a:lstStyle/>
                <a:p>
                  <a:pPr>
                    <a:defRPr sz="1200" b="0" i="0" u="none" strike="noStrike" kern="1200" baseline="0">
                      <a:solidFill>
                        <a:schemeClr val="accent1"/>
                      </a:solidFill>
                      <a:latin typeface="Comic Sans MS" panose="030F0702030302020204" pitchFamily="66" charset="0"/>
                      <a:ea typeface="+mn-ea"/>
                      <a:cs typeface="+mn-cs"/>
                    </a:defRPr>
                  </a:pPr>
                  <a:endParaRPr lang="en-US"/>
                </a:p>
              </c:txPr>
            </c:trendlineLbl>
          </c:trendline>
          <c:xVal>
            <c:numRef>
              <c:f>'VFD Data &gt;= 20 hp'!$H$21:$H$22</c:f>
              <c:numCache>
                <c:formatCode>#,##0.00</c:formatCode>
                <c:ptCount val="2"/>
                <c:pt idx="0">
                  <c:v>0.48</c:v>
                </c:pt>
                <c:pt idx="1">
                  <c:v>3.75</c:v>
                </c:pt>
              </c:numCache>
            </c:numRef>
          </c:xVal>
          <c:yVal>
            <c:numRef>
              <c:f>'VFD Data &gt;= 20 hp'!$I$21:$I$22</c:f>
              <c:numCache>
                <c:formatCode>0.0%</c:formatCode>
                <c:ptCount val="2"/>
                <c:pt idx="0">
                  <c:v>0.47000000000000042</c:v>
                </c:pt>
                <c:pt idx="1">
                  <c:v>0.84144000352864823</c:v>
                </c:pt>
              </c:numCache>
            </c:numRef>
          </c:yVal>
          <c:smooth val="0"/>
          <c:extLst>
            <c:ext xmlns:c16="http://schemas.microsoft.com/office/drawing/2014/chart" uri="{C3380CC4-5D6E-409C-BE32-E72D297353CC}">
              <c16:uniqueId val="{00000001-4CC3-4589-9D1E-E9CA85A7CC07}"/>
            </c:ext>
          </c:extLst>
        </c:ser>
        <c:ser>
          <c:idx val="1"/>
          <c:order val="1"/>
          <c:tx>
            <c:v>Efficiency Part 2</c:v>
          </c:tx>
          <c:spPr>
            <a:ln w="19050" cap="rnd">
              <a:solidFill>
                <a:schemeClr val="accent3"/>
              </a:solidFill>
              <a:prstDash val="dash"/>
              <a:round/>
            </a:ln>
            <a:effectLst/>
          </c:spPr>
          <c:marker>
            <c:symbol val="circle"/>
            <c:size val="5"/>
            <c:spPr>
              <a:noFill/>
              <a:ln w="9525">
                <a:solidFill>
                  <a:schemeClr val="accent3"/>
                </a:solidFill>
              </a:ln>
              <a:effectLst/>
            </c:spPr>
          </c:marker>
          <c:trendline>
            <c:spPr>
              <a:ln w="19050" cap="rnd">
                <a:solidFill>
                  <a:schemeClr val="accent3"/>
                </a:solidFill>
                <a:prstDash val="sysDot"/>
              </a:ln>
              <a:effectLst/>
            </c:spPr>
            <c:trendlineType val="poly"/>
            <c:order val="4"/>
            <c:dispRSqr val="1"/>
            <c:dispEq val="1"/>
            <c:trendlineLbl>
              <c:layout>
                <c:manualLayout>
                  <c:x val="0.13053333196290465"/>
                  <c:y val="-9.4537500994193904E-2"/>
                </c:manualLayout>
              </c:layout>
              <c:numFmt formatCode="#,##0.00000000000000000000" sourceLinked="0"/>
              <c:spPr>
                <a:noFill/>
                <a:ln>
                  <a:noFill/>
                </a:ln>
                <a:effectLst/>
              </c:spPr>
              <c:txPr>
                <a:bodyPr rot="0" spcFirstLastPara="1" vertOverflow="ellipsis" vert="horz" wrap="square" anchor="ctr" anchorCtr="1"/>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trendlineLbl>
          </c:trendline>
          <c:xVal>
            <c:numRef>
              <c:f>'VFD Data &gt;= 20 hp'!$H$22:$H$27</c:f>
              <c:numCache>
                <c:formatCode>#,##0.00</c:formatCode>
                <c:ptCount val="6"/>
                <c:pt idx="0">
                  <c:v>3.75</c:v>
                </c:pt>
                <c:pt idx="1">
                  <c:v>7.5</c:v>
                </c:pt>
                <c:pt idx="2">
                  <c:v>12.600000000000001</c:v>
                </c:pt>
                <c:pt idx="3">
                  <c:v>15</c:v>
                </c:pt>
                <c:pt idx="4">
                  <c:v>22.5</c:v>
                </c:pt>
                <c:pt idx="5">
                  <c:v>30</c:v>
                </c:pt>
              </c:numCache>
            </c:numRef>
          </c:xVal>
          <c:yVal>
            <c:numRef>
              <c:f>'VFD Data &gt;= 20 hp'!$I$22:$I$27</c:f>
              <c:numCache>
                <c:formatCode>0.0%</c:formatCode>
                <c:ptCount val="6"/>
                <c:pt idx="0">
                  <c:v>0.84144000352864823</c:v>
                </c:pt>
                <c:pt idx="1">
                  <c:v>0.92779267255403652</c:v>
                </c:pt>
                <c:pt idx="2">
                  <c:v>0.94572656397647337</c:v>
                </c:pt>
                <c:pt idx="3">
                  <c:v>0.94530942917599925</c:v>
                </c:pt>
                <c:pt idx="4">
                  <c:v>0.96068226485135122</c:v>
                </c:pt>
                <c:pt idx="5">
                  <c:v>0.9699075749623004</c:v>
                </c:pt>
              </c:numCache>
            </c:numRef>
          </c:yVal>
          <c:smooth val="0"/>
          <c:extLst>
            <c:ext xmlns:c16="http://schemas.microsoft.com/office/drawing/2014/chart" uri="{C3380CC4-5D6E-409C-BE32-E72D297353CC}">
              <c16:uniqueId val="{00000003-4CC3-4589-9D1E-E9CA85A7CC07}"/>
            </c:ext>
          </c:extLst>
        </c:ser>
        <c:ser>
          <c:idx val="2"/>
          <c:order val="2"/>
          <c:tx>
            <c:v>Efficiency from Equations</c:v>
          </c:tx>
          <c:spPr>
            <a:ln w="19050" cap="rnd">
              <a:solidFill>
                <a:schemeClr val="accent4"/>
              </a:solidFill>
              <a:prstDash val="sysDot"/>
              <a:round/>
            </a:ln>
            <a:effectLst/>
          </c:spPr>
          <c:marker>
            <c:symbol val="triangle"/>
            <c:size val="5"/>
            <c:spPr>
              <a:solidFill>
                <a:schemeClr val="accent4"/>
              </a:solidFill>
              <a:ln w="9525">
                <a:solidFill>
                  <a:schemeClr val="accent4"/>
                </a:solidFill>
              </a:ln>
              <a:effectLst/>
            </c:spPr>
          </c:marker>
          <c:xVal>
            <c:numRef>
              <c:f>'VFD Data &gt;= 20 hp'!$H$21:$H$27</c:f>
              <c:numCache>
                <c:formatCode>#,##0.00</c:formatCode>
                <c:ptCount val="7"/>
                <c:pt idx="0">
                  <c:v>0.48</c:v>
                </c:pt>
                <c:pt idx="1">
                  <c:v>3.75</c:v>
                </c:pt>
                <c:pt idx="2">
                  <c:v>7.5</c:v>
                </c:pt>
                <c:pt idx="3">
                  <c:v>12.600000000000001</c:v>
                </c:pt>
                <c:pt idx="4">
                  <c:v>15</c:v>
                </c:pt>
                <c:pt idx="5">
                  <c:v>22.5</c:v>
                </c:pt>
                <c:pt idx="6">
                  <c:v>30</c:v>
                </c:pt>
              </c:numCache>
            </c:numRef>
          </c:xVal>
          <c:yVal>
            <c:numRef>
              <c:f>'VFD Data &gt;= 20 hp'!$J$21:$J$27</c:f>
              <c:numCache>
                <c:formatCode>0.0%</c:formatCode>
                <c:ptCount val="7"/>
                <c:pt idx="0">
                  <c:v>0.47000000000000003</c:v>
                </c:pt>
                <c:pt idx="1">
                  <c:v>0.84154702210121024</c:v>
                </c:pt>
                <c:pt idx="2">
                  <c:v>0.92738643476540927</c:v>
                </c:pt>
                <c:pt idx="3">
                  <c:v>0.94678048403575477</c:v>
                </c:pt>
                <c:pt idx="4">
                  <c:v>0.94444617387799035</c:v>
                </c:pt>
                <c:pt idx="5">
                  <c:v>0.96080782926099983</c:v>
                </c:pt>
                <c:pt idx="6">
                  <c:v>0.96989056501342108</c:v>
                </c:pt>
              </c:numCache>
            </c:numRef>
          </c:yVal>
          <c:smooth val="0"/>
          <c:extLst>
            <c:ext xmlns:c16="http://schemas.microsoft.com/office/drawing/2014/chart" uri="{C3380CC4-5D6E-409C-BE32-E72D297353CC}">
              <c16:uniqueId val="{00000004-4CC3-4589-9D1E-E9CA85A7CC07}"/>
            </c:ext>
          </c:extLst>
        </c:ser>
        <c:dLbls>
          <c:showLegendKey val="0"/>
          <c:showVal val="0"/>
          <c:showCatName val="0"/>
          <c:showSerName val="0"/>
          <c:showPercent val="0"/>
          <c:showBubbleSize val="0"/>
        </c:dLbls>
        <c:axId val="1025901152"/>
        <c:axId val="1025903112"/>
      </c:scatterChart>
      <c:valAx>
        <c:axId val="10259011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out"/>
        <c:minorTickMark val="out"/>
        <c:tickLblPos val="nextTo"/>
        <c:spPr>
          <a:noFill/>
          <a:ln w="25400" cap="flat" cmpd="sng" algn="ctr">
            <a:solidFill>
              <a:schemeClr val="bg2"/>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903112"/>
        <c:crosses val="autoZero"/>
        <c:crossBetween val="midCat"/>
      </c:valAx>
      <c:valAx>
        <c:axId val="10259031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025901152"/>
        <c:crosses val="autoZero"/>
        <c:crossBetween val="midCat"/>
        <c:minorUnit val="5.000000000000001E-2"/>
      </c:valAx>
      <c:spPr>
        <a:noFill/>
        <a:ln>
          <a:noFill/>
        </a:ln>
        <a:effectLst/>
      </c:spPr>
    </c:plotArea>
    <c:legend>
      <c:legendPos val="b"/>
      <c:layout>
        <c:manualLayout>
          <c:xMode val="edge"/>
          <c:yMode val="edge"/>
          <c:x val="4.8533385317234799E-2"/>
          <c:y val="0.86553996659508459"/>
          <c:w val="0.89999989606299324"/>
          <c:h val="0.120318619263501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6F60-4343-A045-C08F57D2C6DF}"/>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6F60-4343-A045-C08F57D2C6DF}"/>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6F60-4343-A045-C08F57D2C6DF}"/>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6F60-4343-A045-C08F57D2C6DF}"/>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6F60-4343-A045-C08F57D2C6DF}"/>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6F60-4343-A045-C08F57D2C6DF}"/>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6F60-4343-A045-C08F57D2C6DF}"/>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6F60-4343-A045-C08F57D2C6DF}"/>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6F60-4343-A045-C08F57D2C6DF}"/>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6F60-4343-A045-C08F57D2C6DF}"/>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6F60-4343-A045-C08F57D2C6DF}"/>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6F60-4343-A045-C08F57D2C6DF}"/>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6F60-4343-A045-C08F57D2C6DF}"/>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6F60-4343-A045-C08F57D2C6DF}"/>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6F60-4343-A045-C08F57D2C6DF}"/>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6F60-4343-A045-C08F57D2C6DF}"/>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6F60-4343-A045-C08F57D2C6DF}"/>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6F60-4343-A045-C08F57D2C6DF}"/>
            </c:ext>
          </c:extLst>
        </c:ser>
        <c:dLbls>
          <c:showLegendKey val="0"/>
          <c:showVal val="0"/>
          <c:showCatName val="0"/>
          <c:showSerName val="0"/>
          <c:showPercent val="0"/>
          <c:showBubbleSize val="0"/>
        </c:dLbls>
        <c:axId val="1025878024"/>
        <c:axId val="1025878416"/>
      </c:scatterChart>
      <c:valAx>
        <c:axId val="1025878024"/>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a:t>
                </a:r>
                <a:r>
                  <a:rPr lang="en-US" sz="1400" baseline="0"/>
                  <a:t> gpm</a:t>
                </a:r>
                <a:endParaRPr lang="en-US" sz="140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8416"/>
        <c:crosses val="autoZero"/>
        <c:crossBetween val="midCat"/>
        <c:majorUnit val="500"/>
        <c:minorUnit val="100"/>
      </c:valAx>
      <c:valAx>
        <c:axId val="1025878416"/>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8024"/>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FD77-4979-B69A-9CA052C03A19}"/>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FD77-4979-B69A-9CA052C03A19}"/>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FD77-4979-B69A-9CA052C03A19}"/>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FD77-4979-B69A-9CA052C03A19}"/>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FD77-4979-B69A-9CA052C03A19}"/>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FD77-4979-B69A-9CA052C03A19}"/>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FD77-4979-B69A-9CA052C03A19}"/>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FD77-4979-B69A-9CA052C03A19}"/>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FD77-4979-B69A-9CA052C03A19}"/>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FD77-4979-B69A-9CA052C03A19}"/>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FD77-4979-B69A-9CA052C03A19}"/>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FD77-4979-B69A-9CA052C03A19}"/>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FD77-4979-B69A-9CA052C03A19}"/>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FD77-4979-B69A-9CA052C03A19}"/>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FD77-4979-B69A-9CA052C03A19}"/>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FD77-4979-B69A-9CA052C03A19}"/>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FD77-4979-B69A-9CA052C03A19}"/>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FD77-4979-B69A-9CA052C03A19}"/>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FD77-4979-B69A-9CA052C03A19}"/>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FD77-4979-B69A-9CA052C03A19}"/>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FD77-4979-B69A-9CA052C03A19}"/>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FD77-4979-B69A-9CA052C03A19}"/>
            </c:ext>
          </c:extLst>
        </c:ser>
        <c:dLbls>
          <c:showLegendKey val="0"/>
          <c:showVal val="0"/>
          <c:showCatName val="0"/>
          <c:showSerName val="0"/>
          <c:showPercent val="0"/>
          <c:showBubbleSize val="0"/>
        </c:dLbls>
        <c:axId val="1025876848"/>
        <c:axId val="1025878808"/>
      </c:scatterChart>
      <c:valAx>
        <c:axId val="102587684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8808"/>
        <c:crosses val="autoZero"/>
        <c:crossBetween val="midCat"/>
        <c:majorUnit val="500"/>
        <c:minorUnit val="100"/>
      </c:valAx>
      <c:valAx>
        <c:axId val="1025878808"/>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6848"/>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67A4-43C3-95C9-1D670BBC871E}"/>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67A4-43C3-95C9-1D670BBC871E}"/>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67A4-43C3-95C9-1D670BBC871E}"/>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67A4-43C3-95C9-1D670BBC871E}"/>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67A4-43C3-95C9-1D670BBC871E}"/>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67A4-43C3-95C9-1D670BBC871E}"/>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67A4-43C3-95C9-1D670BBC871E}"/>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67A4-43C3-95C9-1D670BBC871E}"/>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67A4-43C3-95C9-1D670BBC871E}"/>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67A4-43C3-95C9-1D670BBC871E}"/>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67A4-43C3-95C9-1D670BBC871E}"/>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67A4-43C3-95C9-1D670BBC871E}"/>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67A4-43C3-95C9-1D670BBC871E}"/>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67A4-43C3-95C9-1D670BBC871E}"/>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67A4-43C3-95C9-1D670BBC871E}"/>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67A4-43C3-95C9-1D670BBC871E}"/>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67A4-43C3-95C9-1D670BBC871E}"/>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67A4-43C3-95C9-1D670BBC871E}"/>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67A4-43C3-95C9-1D670BBC871E}"/>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67A4-43C3-95C9-1D670BBC871E}"/>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67A4-43C3-95C9-1D670BBC871E}"/>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67A4-43C3-95C9-1D670BBC871E}"/>
            </c:ext>
          </c:extLst>
        </c:ser>
        <c:ser>
          <c:idx val="23"/>
          <c:order val="22"/>
          <c:tx>
            <c:v>Largest Impeller Point</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'Design Point System Curve'!$C$53</c:f>
              <c:numCache>
                <c:formatCode>#,##0</c:formatCode>
                <c:ptCount val="1"/>
                <c:pt idx="0">
                  <c:v>1330</c:v>
                </c:pt>
              </c:numCache>
            </c:numRef>
          </c:xVal>
          <c:yVal>
            <c:numRef>
              <c:f>'Design Point System Curve'!$D$51</c:f>
              <c:numCache>
                <c:formatCode>0.00</c:formatCode>
                <c:ptCount val="1"/>
                <c:pt idx="0">
                  <c:v>73.5</c:v>
                </c:pt>
              </c:numCache>
            </c:numRef>
          </c:yVal>
          <c:smooth val="1"/>
          <c:extLst>
            <c:ext xmlns:c16="http://schemas.microsoft.com/office/drawing/2014/chart" uri="{C3380CC4-5D6E-409C-BE32-E72D297353CC}">
              <c16:uniqueId val="{00000016-67A4-43C3-95C9-1D670BBC871E}"/>
            </c:ext>
          </c:extLst>
        </c:ser>
        <c:ser>
          <c:idx val="24"/>
          <c:order val="23"/>
          <c:tx>
            <c:v>Largest Impeller Head</c:v>
          </c:tx>
          <c:spPr>
            <a:ln w="12700" cap="rnd">
              <a:solidFill>
                <a:srgbClr val="00B0F0"/>
              </a:solidFill>
              <a:prstDash val="dash"/>
              <a:round/>
            </a:ln>
            <a:effectLst/>
          </c:spPr>
          <c:marker>
            <c:symbol val="none"/>
          </c:marker>
          <c:xVal>
            <c:numRef>
              <c:f>'Design Point System Curve'!$C$51:$C$52</c:f>
              <c:numCache>
                <c:formatCode>#,##0</c:formatCode>
                <c:ptCount val="2"/>
                <c:pt idx="0">
                  <c:v>2500</c:v>
                </c:pt>
                <c:pt idx="1">
                  <c:v>0</c:v>
                </c:pt>
              </c:numCache>
            </c:numRef>
          </c:xVal>
          <c:yVal>
            <c:numRef>
              <c:f>'Design Point System Curve'!$D$51:$D$52</c:f>
              <c:numCache>
                <c:formatCode>0.00</c:formatCode>
                <c:ptCount val="2"/>
                <c:pt idx="0">
                  <c:v>73.5</c:v>
                </c:pt>
                <c:pt idx="1">
                  <c:v>73.5</c:v>
                </c:pt>
              </c:numCache>
            </c:numRef>
          </c:yVal>
          <c:smooth val="1"/>
          <c:extLst>
            <c:ext xmlns:c16="http://schemas.microsoft.com/office/drawing/2014/chart" uri="{C3380CC4-5D6E-409C-BE32-E72D297353CC}">
              <c16:uniqueId val="{00000017-67A4-43C3-95C9-1D670BBC871E}"/>
            </c:ext>
          </c:extLst>
        </c:ser>
        <c:ser>
          <c:idx val="25"/>
          <c:order val="24"/>
          <c:tx>
            <c:v>Largest Impeller Flow</c:v>
          </c:tx>
          <c:spPr>
            <a:ln w="1905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67A4-43C3-95C9-1D670BBC871E}"/>
              </c:ext>
            </c:extLst>
          </c:dPt>
          <c:xVal>
            <c:numRef>
              <c:f>'Design Point System Curve'!$C$53:$C$54</c:f>
              <c:numCache>
                <c:formatCode>#,##0</c:formatCode>
                <c:ptCount val="2"/>
                <c:pt idx="0">
                  <c:v>1330</c:v>
                </c:pt>
                <c:pt idx="1">
                  <c:v>1330</c:v>
                </c:pt>
              </c:numCache>
            </c:numRef>
          </c:xVal>
          <c:yVal>
            <c:numRef>
              <c:f>'Design Point System Curve'!$D$53:$D$54</c:f>
              <c:numCache>
                <c:formatCode>0.00</c:formatCode>
                <c:ptCount val="2"/>
                <c:pt idx="0">
                  <c:v>90</c:v>
                </c:pt>
                <c:pt idx="1">
                  <c:v>0</c:v>
                </c:pt>
              </c:numCache>
            </c:numRef>
          </c:yVal>
          <c:smooth val="1"/>
          <c:extLst>
            <c:ext xmlns:c16="http://schemas.microsoft.com/office/drawing/2014/chart" uri="{C3380CC4-5D6E-409C-BE32-E72D297353CC}">
              <c16:uniqueId val="{0000001A-67A4-43C3-95C9-1D670BBC871E}"/>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67A4-43C3-95C9-1D670BBC871E}"/>
            </c:ext>
          </c:extLst>
        </c:ser>
        <c:dLbls>
          <c:showLegendKey val="0"/>
          <c:showVal val="0"/>
          <c:showCatName val="0"/>
          <c:showSerName val="0"/>
          <c:showPercent val="0"/>
          <c:showBubbleSize val="0"/>
        </c:dLbls>
        <c:axId val="1025869008"/>
        <c:axId val="1025875672"/>
      </c:scatterChart>
      <c:valAx>
        <c:axId val="102586900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5672"/>
        <c:crosses val="autoZero"/>
        <c:crossBetween val="midCat"/>
        <c:majorUnit val="500"/>
        <c:minorUnit val="100"/>
      </c:valAx>
      <c:valAx>
        <c:axId val="1025875672"/>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69008"/>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BC68-4ED3-A665-1D9D931590B9}"/>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BC68-4ED3-A665-1D9D931590B9}"/>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BC68-4ED3-A665-1D9D931590B9}"/>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BC68-4ED3-A665-1D9D931590B9}"/>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BC68-4ED3-A665-1D9D931590B9}"/>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BC68-4ED3-A665-1D9D931590B9}"/>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BC68-4ED3-A665-1D9D931590B9}"/>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BC68-4ED3-A665-1D9D931590B9}"/>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BC68-4ED3-A665-1D9D931590B9}"/>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BC68-4ED3-A665-1D9D931590B9}"/>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BC68-4ED3-A665-1D9D931590B9}"/>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BC68-4ED3-A665-1D9D931590B9}"/>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BC68-4ED3-A665-1D9D931590B9}"/>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BC68-4ED3-A665-1D9D931590B9}"/>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BC68-4ED3-A665-1D9D931590B9}"/>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BC68-4ED3-A665-1D9D931590B9}"/>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BC68-4ED3-A665-1D9D931590B9}"/>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BC68-4ED3-A665-1D9D931590B9}"/>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BC68-4ED3-A665-1D9D931590B9}"/>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BC68-4ED3-A665-1D9D931590B9}"/>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BC68-4ED3-A665-1D9D931590B9}"/>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BC68-4ED3-A665-1D9D931590B9}"/>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'75 Pct'!$C$10</c:f>
              <c:numCache>
                <c:formatCode>#,##0</c:formatCode>
                <c:ptCount val="1"/>
                <c:pt idx="0">
                  <c:v>975</c:v>
                </c:pt>
              </c:numCache>
            </c:numRef>
          </c:xVal>
          <c:yVal>
            <c:numRef>
              <c:f>'75 Pct'!$C$11</c:f>
              <c:numCache>
                <c:formatCode>0.00</c:formatCode>
                <c:ptCount val="1"/>
                <c:pt idx="0">
                  <c:v>70</c:v>
                </c:pt>
              </c:numCache>
            </c:numRef>
          </c:yVal>
          <c:smooth val="1"/>
          <c:extLst>
            <c:ext xmlns:c16="http://schemas.microsoft.com/office/drawing/2014/chart" uri="{C3380CC4-5D6E-409C-BE32-E72D297353CC}">
              <c16:uniqueId val="{00000016-BC68-4ED3-A665-1D9D931590B9}"/>
            </c:ext>
          </c:extLst>
        </c:ser>
        <c:ser>
          <c:idx val="24"/>
          <c:order val="23"/>
          <c:tx>
            <c:v>75% Head</c:v>
          </c:tx>
          <c:spPr>
            <a:ln w="12700" cap="rnd">
              <a:solidFill>
                <a:srgbClr val="00B0F0"/>
              </a:solidFill>
              <a:prstDash val="dash"/>
              <a:round/>
            </a:ln>
            <a:effectLst/>
          </c:spPr>
          <c:marker>
            <c:symbol val="none"/>
          </c:marker>
          <c:xVal>
            <c:numRef>
              <c:f>'75 Pct'!$C$43:$C$44</c:f>
              <c:numCache>
                <c:formatCode>#,##0</c:formatCode>
                <c:ptCount val="2"/>
                <c:pt idx="0">
                  <c:v>2500</c:v>
                </c:pt>
                <c:pt idx="1">
                  <c:v>0</c:v>
                </c:pt>
              </c:numCache>
            </c:numRef>
          </c:xVal>
          <c:yVal>
            <c:numRef>
              <c:f>'75 Pct'!$D$43:$D$44</c:f>
              <c:numCache>
                <c:formatCode>0.00</c:formatCode>
                <c:ptCount val="2"/>
                <c:pt idx="0">
                  <c:v>70</c:v>
                </c:pt>
                <c:pt idx="1">
                  <c:v>70</c:v>
                </c:pt>
              </c:numCache>
            </c:numRef>
          </c:yVal>
          <c:smooth val="1"/>
          <c:extLst>
            <c:ext xmlns:c16="http://schemas.microsoft.com/office/drawing/2014/chart" uri="{C3380CC4-5D6E-409C-BE32-E72D297353CC}">
              <c16:uniqueId val="{00000017-BC68-4ED3-A665-1D9D931590B9}"/>
            </c:ext>
          </c:extLst>
        </c:ser>
        <c:ser>
          <c:idx val="25"/>
          <c:order val="24"/>
          <c:tx>
            <c:v>75%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BC68-4ED3-A665-1D9D931590B9}"/>
              </c:ext>
            </c:extLst>
          </c:dPt>
          <c:xVal>
            <c:numRef>
              <c:f>'75 Pct'!$C$45:$C$46</c:f>
              <c:numCache>
                <c:formatCode>#,##0</c:formatCode>
                <c:ptCount val="2"/>
                <c:pt idx="0">
                  <c:v>975</c:v>
                </c:pt>
                <c:pt idx="1">
                  <c:v>975</c:v>
                </c:pt>
              </c:numCache>
            </c:numRef>
          </c:xVal>
          <c:yVal>
            <c:numRef>
              <c:f>'75 Pct'!$D$45:$D$46</c:f>
              <c:numCache>
                <c:formatCode>0.00</c:formatCode>
                <c:ptCount val="2"/>
                <c:pt idx="0">
                  <c:v>90</c:v>
                </c:pt>
                <c:pt idx="1">
                  <c:v>0</c:v>
                </c:pt>
              </c:numCache>
            </c:numRef>
          </c:yVal>
          <c:smooth val="1"/>
          <c:extLst>
            <c:ext xmlns:c16="http://schemas.microsoft.com/office/drawing/2014/chart" uri="{C3380CC4-5D6E-409C-BE32-E72D297353CC}">
              <c16:uniqueId val="{0000001A-BC68-4ED3-A665-1D9D931590B9}"/>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BC68-4ED3-A665-1D9D931590B9}"/>
            </c:ext>
          </c:extLst>
        </c:ser>
        <c:ser>
          <c:idx val="27"/>
          <c:order val="26"/>
          <c:tx>
            <c:v>75% Impeller Curve Point</c:v>
          </c:tx>
          <c:spPr>
            <a:ln w="12700" cap="rnd">
              <a:solidFill>
                <a:schemeClr val="accent4"/>
              </a:solidFill>
              <a:prstDash val="dash"/>
              <a:round/>
            </a:ln>
            <a:effectLst/>
          </c:spPr>
          <c:marker>
            <c:symbol val="none"/>
          </c:marker>
          <c:xVal>
            <c:numRef>
              <c:f>'75 Pct'!$C$51</c:f>
              <c:numCache>
                <c:formatCode>#,##0</c:formatCode>
                <c:ptCount val="1"/>
                <c:pt idx="0">
                  <c:v>1015</c:v>
                </c:pt>
              </c:numCache>
            </c:numRef>
          </c:xVal>
          <c:yVal>
            <c:numRef>
              <c:f>'75 Pct'!$D$49</c:f>
              <c:numCache>
                <c:formatCode>0.00</c:formatCode>
                <c:ptCount val="1"/>
                <c:pt idx="0">
                  <c:v>75.8</c:v>
                </c:pt>
              </c:numCache>
            </c:numRef>
          </c:yVal>
          <c:smooth val="1"/>
          <c:extLst>
            <c:ext xmlns:c16="http://schemas.microsoft.com/office/drawing/2014/chart" uri="{C3380CC4-5D6E-409C-BE32-E72D297353CC}">
              <c16:uniqueId val="{0000001C-BC68-4ED3-A665-1D9D931590B9}"/>
            </c:ext>
          </c:extLst>
        </c:ser>
        <c:dLbls>
          <c:showLegendKey val="0"/>
          <c:showVal val="0"/>
          <c:showCatName val="0"/>
          <c:showSerName val="0"/>
          <c:showPercent val="0"/>
          <c:showBubbleSize val="0"/>
        </c:dLbls>
        <c:axId val="1025876064"/>
        <c:axId val="1025874496"/>
      </c:scatterChart>
      <c:valAx>
        <c:axId val="1025876064"/>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4496"/>
        <c:crosses val="autoZero"/>
        <c:crossBetween val="midCat"/>
        <c:majorUnit val="500"/>
        <c:minorUnit val="100"/>
      </c:valAx>
      <c:valAx>
        <c:axId val="1025874496"/>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6064"/>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60A8-47A3-9C6E-32C055E10E8D}"/>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60A8-47A3-9C6E-32C055E10E8D}"/>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60A8-47A3-9C6E-32C055E10E8D}"/>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60A8-47A3-9C6E-32C055E10E8D}"/>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60A8-47A3-9C6E-32C055E10E8D}"/>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60A8-47A3-9C6E-32C055E10E8D}"/>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60A8-47A3-9C6E-32C055E10E8D}"/>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60A8-47A3-9C6E-32C055E10E8D}"/>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60A8-47A3-9C6E-32C055E10E8D}"/>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60A8-47A3-9C6E-32C055E10E8D}"/>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60A8-47A3-9C6E-32C055E10E8D}"/>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60A8-47A3-9C6E-32C055E10E8D}"/>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60A8-47A3-9C6E-32C055E10E8D}"/>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60A8-47A3-9C6E-32C055E10E8D}"/>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60A8-47A3-9C6E-32C055E10E8D}"/>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60A8-47A3-9C6E-32C055E10E8D}"/>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60A8-47A3-9C6E-32C055E10E8D}"/>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60A8-47A3-9C6E-32C055E10E8D}"/>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60A8-47A3-9C6E-32C055E10E8D}"/>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60A8-47A3-9C6E-32C055E10E8D}"/>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60A8-47A3-9C6E-32C055E10E8D}"/>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60A8-47A3-9C6E-32C055E10E8D}"/>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'75 Pct'!$C$10</c:f>
              <c:numCache>
                <c:formatCode>#,##0</c:formatCode>
                <c:ptCount val="1"/>
                <c:pt idx="0">
                  <c:v>975</c:v>
                </c:pt>
              </c:numCache>
            </c:numRef>
          </c:xVal>
          <c:yVal>
            <c:numRef>
              <c:f>'75 Pct'!$C$11</c:f>
              <c:numCache>
                <c:formatCode>0.00</c:formatCode>
                <c:ptCount val="1"/>
                <c:pt idx="0">
                  <c:v>70</c:v>
                </c:pt>
              </c:numCache>
            </c:numRef>
          </c:yVal>
          <c:smooth val="1"/>
          <c:extLst>
            <c:ext xmlns:c16="http://schemas.microsoft.com/office/drawing/2014/chart" uri="{C3380CC4-5D6E-409C-BE32-E72D297353CC}">
              <c16:uniqueId val="{00000016-60A8-47A3-9C6E-32C055E10E8D}"/>
            </c:ext>
          </c:extLst>
        </c:ser>
        <c:ser>
          <c:idx val="24"/>
          <c:order val="23"/>
          <c:tx>
            <c:v>75% Head</c:v>
          </c:tx>
          <c:spPr>
            <a:ln w="12700" cap="rnd">
              <a:solidFill>
                <a:srgbClr val="00B0F0"/>
              </a:solidFill>
              <a:prstDash val="dash"/>
              <a:round/>
            </a:ln>
            <a:effectLst/>
          </c:spPr>
          <c:marker>
            <c:symbol val="none"/>
          </c:marker>
          <c:xVal>
            <c:numRef>
              <c:f>'75 Pct'!$C$43:$C$44</c:f>
              <c:numCache>
                <c:formatCode>#,##0</c:formatCode>
                <c:ptCount val="2"/>
                <c:pt idx="0">
                  <c:v>2500</c:v>
                </c:pt>
                <c:pt idx="1">
                  <c:v>0</c:v>
                </c:pt>
              </c:numCache>
            </c:numRef>
          </c:xVal>
          <c:yVal>
            <c:numRef>
              <c:f>'75 Pct'!$D$43:$D$44</c:f>
              <c:numCache>
                <c:formatCode>0.00</c:formatCode>
                <c:ptCount val="2"/>
                <c:pt idx="0">
                  <c:v>70</c:v>
                </c:pt>
                <c:pt idx="1">
                  <c:v>70</c:v>
                </c:pt>
              </c:numCache>
            </c:numRef>
          </c:yVal>
          <c:smooth val="1"/>
          <c:extLst>
            <c:ext xmlns:c16="http://schemas.microsoft.com/office/drawing/2014/chart" uri="{C3380CC4-5D6E-409C-BE32-E72D297353CC}">
              <c16:uniqueId val="{00000017-60A8-47A3-9C6E-32C055E10E8D}"/>
            </c:ext>
          </c:extLst>
        </c:ser>
        <c:ser>
          <c:idx val="25"/>
          <c:order val="24"/>
          <c:tx>
            <c:v>75%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60A8-47A3-9C6E-32C055E10E8D}"/>
              </c:ext>
            </c:extLst>
          </c:dPt>
          <c:xVal>
            <c:numRef>
              <c:f>'75 Pct'!$C$45:$C$46</c:f>
              <c:numCache>
                <c:formatCode>#,##0</c:formatCode>
                <c:ptCount val="2"/>
                <c:pt idx="0">
                  <c:v>975</c:v>
                </c:pt>
                <c:pt idx="1">
                  <c:v>975</c:v>
                </c:pt>
              </c:numCache>
            </c:numRef>
          </c:xVal>
          <c:yVal>
            <c:numRef>
              <c:f>'75 Pct'!$D$45:$D$46</c:f>
              <c:numCache>
                <c:formatCode>0.00</c:formatCode>
                <c:ptCount val="2"/>
                <c:pt idx="0">
                  <c:v>90</c:v>
                </c:pt>
                <c:pt idx="1">
                  <c:v>0</c:v>
                </c:pt>
              </c:numCache>
            </c:numRef>
          </c:yVal>
          <c:smooth val="1"/>
          <c:extLst>
            <c:ext xmlns:c16="http://schemas.microsoft.com/office/drawing/2014/chart" uri="{C3380CC4-5D6E-409C-BE32-E72D297353CC}">
              <c16:uniqueId val="{0000001A-60A8-47A3-9C6E-32C055E10E8D}"/>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60A8-47A3-9C6E-32C055E10E8D}"/>
            </c:ext>
          </c:extLst>
        </c:ser>
        <c:ser>
          <c:idx val="1"/>
          <c:order val="26"/>
          <c:tx>
            <c:v>75% System Curve</c:v>
          </c:tx>
          <c:spPr>
            <a:ln w="25400" cap="rnd">
              <a:solidFill>
                <a:srgbClr val="00B0F0"/>
              </a:solidFill>
              <a:round/>
            </a:ln>
            <a:effectLst/>
          </c:spPr>
          <c:marker>
            <c:symbol val="none"/>
          </c:marker>
          <c:xVal>
            <c:numRef>
              <c:f>'75 Pct'!$C$23:$C$40</c:f>
              <c:numCache>
                <c:formatCode>#,##0</c:formatCode>
                <c:ptCount val="18"/>
                <c:pt idx="0">
                  <c:v>1560</c:v>
                </c:pt>
                <c:pt idx="1">
                  <c:v>1170</c:v>
                </c:pt>
                <c:pt idx="2">
                  <c:v>975</c:v>
                </c:pt>
                <c:pt idx="3">
                  <c:v>780</c:v>
                </c:pt>
                <c:pt idx="4">
                  <c:v>585</c:v>
                </c:pt>
                <c:pt idx="5">
                  <c:v>390</c:v>
                </c:pt>
                <c:pt idx="6">
                  <c:v>292.5</c:v>
                </c:pt>
                <c:pt idx="7">
                  <c:v>195</c:v>
                </c:pt>
                <c:pt idx="8">
                  <c:v>175.5</c:v>
                </c:pt>
                <c:pt idx="9">
                  <c:v>156</c:v>
                </c:pt>
                <c:pt idx="10">
                  <c:v>136.5</c:v>
                </c:pt>
                <c:pt idx="11">
                  <c:v>117</c:v>
                </c:pt>
                <c:pt idx="12">
                  <c:v>97.5</c:v>
                </c:pt>
                <c:pt idx="13">
                  <c:v>78</c:v>
                </c:pt>
                <c:pt idx="14">
                  <c:v>58.5</c:v>
                </c:pt>
                <c:pt idx="15">
                  <c:v>23.400000000000002</c:v>
                </c:pt>
                <c:pt idx="16">
                  <c:v>11.700000000000001</c:v>
                </c:pt>
                <c:pt idx="17">
                  <c:v>0</c:v>
                </c:pt>
              </c:numCache>
            </c:numRef>
          </c:xVal>
          <c:yVal>
            <c:numRef>
              <c:f>'75 Pct'!$D$23:$D$40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60A8-47A3-9C6E-32C055E10E8D}"/>
            </c:ext>
          </c:extLst>
        </c:ser>
        <c:ser>
          <c:idx val="27"/>
          <c:order val="27"/>
          <c:tx>
            <c:v>75% Impeller Curve Point</c:v>
          </c:tx>
          <c:spPr>
            <a:ln w="12700" cap="rnd">
              <a:solidFill>
                <a:schemeClr val="accent4"/>
              </a:solidFill>
              <a:prstDash val="dash"/>
              <a:round/>
            </a:ln>
            <a:effectLst/>
          </c:spPr>
          <c:marker>
            <c:symbol val="none"/>
          </c:marker>
          <c:xVal>
            <c:numRef>
              <c:f>'75 Pct'!$C$51</c:f>
              <c:numCache>
                <c:formatCode>#,##0</c:formatCode>
                <c:ptCount val="1"/>
                <c:pt idx="0">
                  <c:v>1015</c:v>
                </c:pt>
              </c:numCache>
            </c:numRef>
          </c:xVal>
          <c:yVal>
            <c:numRef>
              <c:f>'75 Pct'!$D$49</c:f>
              <c:numCache>
                <c:formatCode>0.00</c:formatCode>
                <c:ptCount val="1"/>
                <c:pt idx="0">
                  <c:v>75.8</c:v>
                </c:pt>
              </c:numCache>
            </c:numRef>
          </c:yVal>
          <c:smooth val="1"/>
          <c:extLst>
            <c:ext xmlns:c16="http://schemas.microsoft.com/office/drawing/2014/chart" uri="{C3380CC4-5D6E-409C-BE32-E72D297353CC}">
              <c16:uniqueId val="{0000001D-60A8-47A3-9C6E-32C055E10E8D}"/>
            </c:ext>
          </c:extLst>
        </c:ser>
        <c:dLbls>
          <c:showLegendKey val="0"/>
          <c:showVal val="0"/>
          <c:showCatName val="0"/>
          <c:showSerName val="0"/>
          <c:showPercent val="0"/>
          <c:showBubbleSize val="0"/>
        </c:dLbls>
        <c:axId val="1025871752"/>
        <c:axId val="1025874888"/>
      </c:scatterChart>
      <c:valAx>
        <c:axId val="1025871752"/>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4888"/>
        <c:crosses val="autoZero"/>
        <c:crossBetween val="midCat"/>
        <c:majorUnit val="500"/>
        <c:minorUnit val="100"/>
      </c:valAx>
      <c:valAx>
        <c:axId val="1025874888"/>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1752"/>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99B3-4565-AD12-536F356BEB04}"/>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99B3-4565-AD12-536F356BEB04}"/>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99B3-4565-AD12-536F356BEB04}"/>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99B3-4565-AD12-536F356BEB04}"/>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99B3-4565-AD12-536F356BEB04}"/>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99B3-4565-AD12-536F356BEB04}"/>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99B3-4565-AD12-536F356BEB04}"/>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99B3-4565-AD12-536F356BEB04}"/>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99B3-4565-AD12-536F356BEB04}"/>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99B3-4565-AD12-536F356BEB04}"/>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99B3-4565-AD12-536F356BEB04}"/>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99B3-4565-AD12-536F356BEB04}"/>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99B3-4565-AD12-536F356BEB04}"/>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99B3-4565-AD12-536F356BEB04}"/>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99B3-4565-AD12-536F356BEB04}"/>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99B3-4565-AD12-536F356BEB04}"/>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99B3-4565-AD12-536F356BEB04}"/>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99B3-4565-AD12-536F356BEB04}"/>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99B3-4565-AD12-536F356BEB04}"/>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99B3-4565-AD12-536F356BEB04}"/>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99B3-4565-AD12-536F356BEB04}"/>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99B3-4565-AD12-536F356BEB04}"/>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'75 Pct'!$C$10</c:f>
              <c:numCache>
                <c:formatCode>#,##0</c:formatCode>
                <c:ptCount val="1"/>
                <c:pt idx="0">
                  <c:v>975</c:v>
                </c:pt>
              </c:numCache>
            </c:numRef>
          </c:xVal>
          <c:yVal>
            <c:numRef>
              <c:f>'75 Pct'!$C$11</c:f>
              <c:numCache>
                <c:formatCode>0.00</c:formatCode>
                <c:ptCount val="1"/>
                <c:pt idx="0">
                  <c:v>70</c:v>
                </c:pt>
              </c:numCache>
            </c:numRef>
          </c:yVal>
          <c:smooth val="1"/>
          <c:extLst>
            <c:ext xmlns:c16="http://schemas.microsoft.com/office/drawing/2014/chart" uri="{C3380CC4-5D6E-409C-BE32-E72D297353CC}">
              <c16:uniqueId val="{00000016-99B3-4565-AD12-536F356BEB04}"/>
            </c:ext>
          </c:extLst>
        </c:ser>
        <c:ser>
          <c:idx val="24"/>
          <c:order val="23"/>
          <c:tx>
            <c:v>75% Head</c:v>
          </c:tx>
          <c:spPr>
            <a:ln w="12700" cap="rnd">
              <a:solidFill>
                <a:srgbClr val="00B0F0"/>
              </a:solidFill>
              <a:prstDash val="dash"/>
              <a:round/>
            </a:ln>
            <a:effectLst/>
          </c:spPr>
          <c:marker>
            <c:symbol val="none"/>
          </c:marker>
          <c:xVal>
            <c:numRef>
              <c:f>'75 Pct'!$C$43:$C$44</c:f>
              <c:numCache>
                <c:formatCode>#,##0</c:formatCode>
                <c:ptCount val="2"/>
                <c:pt idx="0">
                  <c:v>2500</c:v>
                </c:pt>
                <c:pt idx="1">
                  <c:v>0</c:v>
                </c:pt>
              </c:numCache>
            </c:numRef>
          </c:xVal>
          <c:yVal>
            <c:numRef>
              <c:f>'75 Pct'!$D$43:$D$44</c:f>
              <c:numCache>
                <c:formatCode>0.00</c:formatCode>
                <c:ptCount val="2"/>
                <c:pt idx="0">
                  <c:v>70</c:v>
                </c:pt>
                <c:pt idx="1">
                  <c:v>70</c:v>
                </c:pt>
              </c:numCache>
            </c:numRef>
          </c:yVal>
          <c:smooth val="1"/>
          <c:extLst>
            <c:ext xmlns:c16="http://schemas.microsoft.com/office/drawing/2014/chart" uri="{C3380CC4-5D6E-409C-BE32-E72D297353CC}">
              <c16:uniqueId val="{00000017-99B3-4565-AD12-536F356BEB04}"/>
            </c:ext>
          </c:extLst>
        </c:ser>
        <c:ser>
          <c:idx val="25"/>
          <c:order val="24"/>
          <c:tx>
            <c:v>75%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99B3-4565-AD12-536F356BEB04}"/>
              </c:ext>
            </c:extLst>
          </c:dPt>
          <c:xVal>
            <c:numRef>
              <c:f>'75 Pct'!$C$45:$C$46</c:f>
              <c:numCache>
                <c:formatCode>#,##0</c:formatCode>
                <c:ptCount val="2"/>
                <c:pt idx="0">
                  <c:v>975</c:v>
                </c:pt>
                <c:pt idx="1">
                  <c:v>975</c:v>
                </c:pt>
              </c:numCache>
            </c:numRef>
          </c:xVal>
          <c:yVal>
            <c:numRef>
              <c:f>'75 Pct'!$D$45:$D$46</c:f>
              <c:numCache>
                <c:formatCode>0.00</c:formatCode>
                <c:ptCount val="2"/>
                <c:pt idx="0">
                  <c:v>90</c:v>
                </c:pt>
                <c:pt idx="1">
                  <c:v>0</c:v>
                </c:pt>
              </c:numCache>
            </c:numRef>
          </c:yVal>
          <c:smooth val="1"/>
          <c:extLst>
            <c:ext xmlns:c16="http://schemas.microsoft.com/office/drawing/2014/chart" uri="{C3380CC4-5D6E-409C-BE32-E72D297353CC}">
              <c16:uniqueId val="{0000001A-99B3-4565-AD12-536F356BEB04}"/>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99B3-4565-AD12-536F356BEB04}"/>
            </c:ext>
          </c:extLst>
        </c:ser>
        <c:ser>
          <c:idx val="1"/>
          <c:order val="26"/>
          <c:tx>
            <c:v>75% System Curve</c:v>
          </c:tx>
          <c:spPr>
            <a:ln w="25400" cap="rnd">
              <a:solidFill>
                <a:srgbClr val="00B0F0"/>
              </a:solidFill>
              <a:round/>
            </a:ln>
            <a:effectLst/>
          </c:spPr>
          <c:marker>
            <c:symbol val="none"/>
          </c:marker>
          <c:xVal>
            <c:numRef>
              <c:f>'75 Pct'!$C$23:$C$40</c:f>
              <c:numCache>
                <c:formatCode>#,##0</c:formatCode>
                <c:ptCount val="18"/>
                <c:pt idx="0">
                  <c:v>1560</c:v>
                </c:pt>
                <c:pt idx="1">
                  <c:v>1170</c:v>
                </c:pt>
                <c:pt idx="2">
                  <c:v>975</c:v>
                </c:pt>
                <c:pt idx="3">
                  <c:v>780</c:v>
                </c:pt>
                <c:pt idx="4">
                  <c:v>585</c:v>
                </c:pt>
                <c:pt idx="5">
                  <c:v>390</c:v>
                </c:pt>
                <c:pt idx="6">
                  <c:v>292.5</c:v>
                </c:pt>
                <c:pt idx="7">
                  <c:v>195</c:v>
                </c:pt>
                <c:pt idx="8">
                  <c:v>175.5</c:v>
                </c:pt>
                <c:pt idx="9">
                  <c:v>156</c:v>
                </c:pt>
                <c:pt idx="10">
                  <c:v>136.5</c:v>
                </c:pt>
                <c:pt idx="11">
                  <c:v>117</c:v>
                </c:pt>
                <c:pt idx="12">
                  <c:v>97.5</c:v>
                </c:pt>
                <c:pt idx="13">
                  <c:v>78</c:v>
                </c:pt>
                <c:pt idx="14">
                  <c:v>58.5</c:v>
                </c:pt>
                <c:pt idx="15">
                  <c:v>23.400000000000002</c:v>
                </c:pt>
                <c:pt idx="16">
                  <c:v>11.700000000000001</c:v>
                </c:pt>
                <c:pt idx="17">
                  <c:v>0</c:v>
                </c:pt>
              </c:numCache>
            </c:numRef>
          </c:xVal>
          <c:yVal>
            <c:numRef>
              <c:f>'75 Pct'!$D$23:$D$40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99B3-4565-AD12-536F356BEB04}"/>
            </c:ext>
          </c:extLst>
        </c:ser>
        <c:ser>
          <c:idx val="27"/>
          <c:order val="27"/>
          <c:tx>
            <c:v>75%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'75 Pct'!$C$51</c:f>
              <c:numCache>
                <c:formatCode>#,##0</c:formatCode>
                <c:ptCount val="1"/>
                <c:pt idx="0">
                  <c:v>1015</c:v>
                </c:pt>
              </c:numCache>
            </c:numRef>
          </c:xVal>
          <c:yVal>
            <c:numRef>
              <c:f>'75 Pct'!$D$49</c:f>
              <c:numCache>
                <c:formatCode>0.00</c:formatCode>
                <c:ptCount val="1"/>
                <c:pt idx="0">
                  <c:v>75.8</c:v>
                </c:pt>
              </c:numCache>
            </c:numRef>
          </c:yVal>
          <c:smooth val="1"/>
          <c:extLst>
            <c:ext xmlns:c16="http://schemas.microsoft.com/office/drawing/2014/chart" uri="{C3380CC4-5D6E-409C-BE32-E72D297353CC}">
              <c16:uniqueId val="{0000001D-99B3-4565-AD12-536F356BEB04}"/>
            </c:ext>
          </c:extLst>
        </c:ser>
        <c:ser>
          <c:idx val="28"/>
          <c:order val="28"/>
          <c:tx>
            <c:v>75% Impeller Curve Flow</c:v>
          </c:tx>
          <c:spPr>
            <a:ln w="12700" cap="rnd">
              <a:solidFill>
                <a:schemeClr val="accent4"/>
              </a:solidFill>
              <a:prstDash val="dash"/>
              <a:round/>
            </a:ln>
            <a:effectLst/>
          </c:spPr>
          <c:marker>
            <c:symbol val="none"/>
          </c:marker>
          <c:xVal>
            <c:numRef>
              <c:f>'75 Pct'!$C$51:$C$52</c:f>
              <c:numCache>
                <c:formatCode>#,##0</c:formatCode>
                <c:ptCount val="2"/>
                <c:pt idx="0">
                  <c:v>1015</c:v>
                </c:pt>
                <c:pt idx="1">
                  <c:v>1015</c:v>
                </c:pt>
              </c:numCache>
            </c:numRef>
          </c:xVal>
          <c:yVal>
            <c:numRef>
              <c:f>'75 Pct'!$D$51:$D$52</c:f>
              <c:numCache>
                <c:formatCode>0.00</c:formatCode>
                <c:ptCount val="2"/>
                <c:pt idx="0">
                  <c:v>90</c:v>
                </c:pt>
                <c:pt idx="1">
                  <c:v>0</c:v>
                </c:pt>
              </c:numCache>
            </c:numRef>
          </c:yVal>
          <c:smooth val="1"/>
          <c:extLst>
            <c:ext xmlns:c16="http://schemas.microsoft.com/office/drawing/2014/chart" uri="{C3380CC4-5D6E-409C-BE32-E72D297353CC}">
              <c16:uniqueId val="{0000001E-99B3-4565-AD12-536F356BEB04}"/>
            </c:ext>
          </c:extLst>
        </c:ser>
        <c:ser>
          <c:idx val="29"/>
          <c:order val="29"/>
          <c:tx>
            <c:v>75% Impeller Curve Head</c:v>
          </c:tx>
          <c:spPr>
            <a:ln w="12700" cap="rnd">
              <a:solidFill>
                <a:schemeClr val="accent4"/>
              </a:solidFill>
              <a:prstDash val="dash"/>
              <a:round/>
            </a:ln>
            <a:effectLst/>
          </c:spPr>
          <c:marker>
            <c:symbol val="none"/>
          </c:marker>
          <c:xVal>
            <c:numRef>
              <c:f>'75 Pct'!$C$49:$C$50</c:f>
              <c:numCache>
                <c:formatCode>#,##0</c:formatCode>
                <c:ptCount val="2"/>
                <c:pt idx="0">
                  <c:v>2500</c:v>
                </c:pt>
                <c:pt idx="1">
                  <c:v>0</c:v>
                </c:pt>
              </c:numCache>
            </c:numRef>
          </c:xVal>
          <c:yVal>
            <c:numRef>
              <c:f>'75 Pct'!$D$49:$D$50</c:f>
              <c:numCache>
                <c:formatCode>0.00</c:formatCode>
                <c:ptCount val="2"/>
                <c:pt idx="0">
                  <c:v>75.8</c:v>
                </c:pt>
                <c:pt idx="1">
                  <c:v>75.8</c:v>
                </c:pt>
              </c:numCache>
            </c:numRef>
          </c:yVal>
          <c:smooth val="1"/>
          <c:extLst>
            <c:ext xmlns:c16="http://schemas.microsoft.com/office/drawing/2014/chart" uri="{C3380CC4-5D6E-409C-BE32-E72D297353CC}">
              <c16:uniqueId val="{0000001F-99B3-4565-AD12-536F356BEB04}"/>
            </c:ext>
          </c:extLst>
        </c:ser>
        <c:dLbls>
          <c:showLegendKey val="0"/>
          <c:showVal val="0"/>
          <c:showCatName val="0"/>
          <c:showSerName val="0"/>
          <c:showPercent val="0"/>
          <c:showBubbleSize val="0"/>
        </c:dLbls>
        <c:axId val="1025875280"/>
        <c:axId val="1025872928"/>
      </c:scatterChart>
      <c:valAx>
        <c:axId val="1025875280"/>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2928"/>
        <c:crosses val="autoZero"/>
        <c:crossBetween val="midCat"/>
        <c:majorUnit val="500"/>
        <c:minorUnit val="100"/>
      </c:valAx>
      <c:valAx>
        <c:axId val="1025872928"/>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75280"/>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C507-4D6D-A256-B8E0CFDB330C}"/>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C507-4D6D-A256-B8E0CFDB330C}"/>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C507-4D6D-A256-B8E0CFDB330C}"/>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C507-4D6D-A256-B8E0CFDB330C}"/>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C507-4D6D-A256-B8E0CFDB330C}"/>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C507-4D6D-A256-B8E0CFDB330C}"/>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C507-4D6D-A256-B8E0CFDB330C}"/>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C507-4D6D-A256-B8E0CFDB330C}"/>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C507-4D6D-A256-B8E0CFDB330C}"/>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C507-4D6D-A256-B8E0CFDB330C}"/>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C507-4D6D-A256-B8E0CFDB330C}"/>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C507-4D6D-A256-B8E0CFDB330C}"/>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C507-4D6D-A256-B8E0CFDB330C}"/>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C507-4D6D-A256-B8E0CFDB330C}"/>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C507-4D6D-A256-B8E0CFDB330C}"/>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C507-4D6D-A256-B8E0CFDB330C}"/>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C507-4D6D-A256-B8E0CFDB330C}"/>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C507-4D6D-A256-B8E0CFDB330C}"/>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C507-4D6D-A256-B8E0CFDB330C}"/>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C507-4D6D-A256-B8E0CFDB330C}"/>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C507-4D6D-A256-B8E0CFDB330C}"/>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C507-4D6D-A256-B8E0CFDB330C}"/>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'75 Pct'!$C$10</c:f>
              <c:numCache>
                <c:formatCode>#,##0</c:formatCode>
                <c:ptCount val="1"/>
                <c:pt idx="0">
                  <c:v>975</c:v>
                </c:pt>
              </c:numCache>
            </c:numRef>
          </c:xVal>
          <c:yVal>
            <c:numRef>
              <c:f>'75 Pct'!$C$11</c:f>
              <c:numCache>
                <c:formatCode>0.00</c:formatCode>
                <c:ptCount val="1"/>
                <c:pt idx="0">
                  <c:v>70</c:v>
                </c:pt>
              </c:numCache>
            </c:numRef>
          </c:yVal>
          <c:smooth val="1"/>
          <c:extLst>
            <c:ext xmlns:c16="http://schemas.microsoft.com/office/drawing/2014/chart" uri="{C3380CC4-5D6E-409C-BE32-E72D297353CC}">
              <c16:uniqueId val="{00000016-C507-4D6D-A256-B8E0CFDB330C}"/>
            </c:ext>
          </c:extLst>
        </c:ser>
        <c:ser>
          <c:idx val="24"/>
          <c:order val="23"/>
          <c:tx>
            <c:v>75% Head</c:v>
          </c:tx>
          <c:spPr>
            <a:ln w="12700" cap="rnd">
              <a:solidFill>
                <a:srgbClr val="00B0F0"/>
              </a:solidFill>
              <a:prstDash val="dash"/>
              <a:round/>
            </a:ln>
            <a:effectLst/>
          </c:spPr>
          <c:marker>
            <c:symbol val="none"/>
          </c:marker>
          <c:xVal>
            <c:numRef>
              <c:f>'75 Pct'!$C$43:$C$44</c:f>
              <c:numCache>
                <c:formatCode>#,##0</c:formatCode>
                <c:ptCount val="2"/>
                <c:pt idx="0">
                  <c:v>2500</c:v>
                </c:pt>
                <c:pt idx="1">
                  <c:v>0</c:v>
                </c:pt>
              </c:numCache>
            </c:numRef>
          </c:xVal>
          <c:yVal>
            <c:numRef>
              <c:f>'75 Pct'!$D$43:$D$44</c:f>
              <c:numCache>
                <c:formatCode>0.00</c:formatCode>
                <c:ptCount val="2"/>
                <c:pt idx="0">
                  <c:v>70</c:v>
                </c:pt>
                <c:pt idx="1">
                  <c:v>70</c:v>
                </c:pt>
              </c:numCache>
            </c:numRef>
          </c:yVal>
          <c:smooth val="1"/>
          <c:extLst>
            <c:ext xmlns:c16="http://schemas.microsoft.com/office/drawing/2014/chart" uri="{C3380CC4-5D6E-409C-BE32-E72D297353CC}">
              <c16:uniqueId val="{00000017-C507-4D6D-A256-B8E0CFDB330C}"/>
            </c:ext>
          </c:extLst>
        </c:ser>
        <c:ser>
          <c:idx val="25"/>
          <c:order val="24"/>
          <c:tx>
            <c:v>75%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C507-4D6D-A256-B8E0CFDB330C}"/>
              </c:ext>
            </c:extLst>
          </c:dPt>
          <c:xVal>
            <c:numRef>
              <c:f>'75 Pct'!$C$45:$C$46</c:f>
              <c:numCache>
                <c:formatCode>#,##0</c:formatCode>
                <c:ptCount val="2"/>
                <c:pt idx="0">
                  <c:v>975</c:v>
                </c:pt>
                <c:pt idx="1">
                  <c:v>975</c:v>
                </c:pt>
              </c:numCache>
            </c:numRef>
          </c:xVal>
          <c:yVal>
            <c:numRef>
              <c:f>'75 Pct'!$D$45:$D$46</c:f>
              <c:numCache>
                <c:formatCode>0.00</c:formatCode>
                <c:ptCount val="2"/>
                <c:pt idx="0">
                  <c:v>90</c:v>
                </c:pt>
                <c:pt idx="1">
                  <c:v>0</c:v>
                </c:pt>
              </c:numCache>
            </c:numRef>
          </c:yVal>
          <c:smooth val="1"/>
          <c:extLst>
            <c:ext xmlns:c16="http://schemas.microsoft.com/office/drawing/2014/chart" uri="{C3380CC4-5D6E-409C-BE32-E72D297353CC}">
              <c16:uniqueId val="{0000001A-C507-4D6D-A256-B8E0CFDB330C}"/>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C507-4D6D-A256-B8E0CFDB330C}"/>
            </c:ext>
          </c:extLst>
        </c:ser>
        <c:ser>
          <c:idx val="1"/>
          <c:order val="26"/>
          <c:tx>
            <c:v>75% System Curve</c:v>
          </c:tx>
          <c:spPr>
            <a:ln w="25400" cap="rnd">
              <a:solidFill>
                <a:srgbClr val="00B0F0"/>
              </a:solidFill>
              <a:round/>
            </a:ln>
            <a:effectLst/>
          </c:spPr>
          <c:marker>
            <c:symbol val="none"/>
          </c:marker>
          <c:xVal>
            <c:numRef>
              <c:f>'75 Pct'!$C$23:$C$40</c:f>
              <c:numCache>
                <c:formatCode>#,##0</c:formatCode>
                <c:ptCount val="18"/>
                <c:pt idx="0">
                  <c:v>1560</c:v>
                </c:pt>
                <c:pt idx="1">
                  <c:v>1170</c:v>
                </c:pt>
                <c:pt idx="2">
                  <c:v>975</c:v>
                </c:pt>
                <c:pt idx="3">
                  <c:v>780</c:v>
                </c:pt>
                <c:pt idx="4">
                  <c:v>585</c:v>
                </c:pt>
                <c:pt idx="5">
                  <c:v>390</c:v>
                </c:pt>
                <c:pt idx="6">
                  <c:v>292.5</c:v>
                </c:pt>
                <c:pt idx="7">
                  <c:v>195</c:v>
                </c:pt>
                <c:pt idx="8">
                  <c:v>175.5</c:v>
                </c:pt>
                <c:pt idx="9">
                  <c:v>156</c:v>
                </c:pt>
                <c:pt idx="10">
                  <c:v>136.5</c:v>
                </c:pt>
                <c:pt idx="11">
                  <c:v>117</c:v>
                </c:pt>
                <c:pt idx="12">
                  <c:v>97.5</c:v>
                </c:pt>
                <c:pt idx="13">
                  <c:v>78</c:v>
                </c:pt>
                <c:pt idx="14">
                  <c:v>58.5</c:v>
                </c:pt>
                <c:pt idx="15">
                  <c:v>23.400000000000002</c:v>
                </c:pt>
                <c:pt idx="16">
                  <c:v>11.700000000000001</c:v>
                </c:pt>
                <c:pt idx="17">
                  <c:v>0</c:v>
                </c:pt>
              </c:numCache>
            </c:numRef>
          </c:xVal>
          <c:yVal>
            <c:numRef>
              <c:f>'75 Pct'!$D$23:$D$40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C507-4D6D-A256-B8E0CFDB330C}"/>
            </c:ext>
          </c:extLst>
        </c:ser>
        <c:ser>
          <c:idx val="27"/>
          <c:order val="27"/>
          <c:tx>
            <c:v>75%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'75 Pct'!$C$51</c:f>
              <c:numCache>
                <c:formatCode>#,##0</c:formatCode>
                <c:ptCount val="1"/>
                <c:pt idx="0">
                  <c:v>1015</c:v>
                </c:pt>
              </c:numCache>
            </c:numRef>
          </c:xVal>
          <c:yVal>
            <c:numRef>
              <c:f>'75 Pct'!$D$49</c:f>
              <c:numCache>
                <c:formatCode>0.00</c:formatCode>
                <c:ptCount val="1"/>
                <c:pt idx="0">
                  <c:v>75.8</c:v>
                </c:pt>
              </c:numCache>
            </c:numRef>
          </c:yVal>
          <c:smooth val="1"/>
          <c:extLst>
            <c:ext xmlns:c16="http://schemas.microsoft.com/office/drawing/2014/chart" uri="{C3380CC4-5D6E-409C-BE32-E72D297353CC}">
              <c16:uniqueId val="{0000001D-C507-4D6D-A256-B8E0CFDB330C}"/>
            </c:ext>
          </c:extLst>
        </c:ser>
        <c:ser>
          <c:idx val="28"/>
          <c:order val="28"/>
          <c:tx>
            <c:v>75% Impeller Curve Flow</c:v>
          </c:tx>
          <c:spPr>
            <a:ln w="12700" cap="rnd">
              <a:solidFill>
                <a:schemeClr val="accent4"/>
              </a:solidFill>
              <a:prstDash val="dash"/>
              <a:round/>
            </a:ln>
            <a:effectLst/>
          </c:spPr>
          <c:marker>
            <c:symbol val="none"/>
          </c:marker>
          <c:xVal>
            <c:numRef>
              <c:f>'75 Pct'!$C$51:$C$52</c:f>
              <c:numCache>
                <c:formatCode>#,##0</c:formatCode>
                <c:ptCount val="2"/>
                <c:pt idx="0">
                  <c:v>1015</c:v>
                </c:pt>
                <c:pt idx="1">
                  <c:v>1015</c:v>
                </c:pt>
              </c:numCache>
            </c:numRef>
          </c:xVal>
          <c:yVal>
            <c:numRef>
              <c:f>'75 Pct'!$D$51:$D$52</c:f>
              <c:numCache>
                <c:formatCode>0.00</c:formatCode>
                <c:ptCount val="2"/>
                <c:pt idx="0">
                  <c:v>90</c:v>
                </c:pt>
                <c:pt idx="1">
                  <c:v>0</c:v>
                </c:pt>
              </c:numCache>
            </c:numRef>
          </c:yVal>
          <c:smooth val="1"/>
          <c:extLst>
            <c:ext xmlns:c16="http://schemas.microsoft.com/office/drawing/2014/chart" uri="{C3380CC4-5D6E-409C-BE32-E72D297353CC}">
              <c16:uniqueId val="{0000001E-C507-4D6D-A256-B8E0CFDB330C}"/>
            </c:ext>
          </c:extLst>
        </c:ser>
        <c:ser>
          <c:idx val="29"/>
          <c:order val="29"/>
          <c:tx>
            <c:v>75% Impeller Curve Head</c:v>
          </c:tx>
          <c:spPr>
            <a:ln w="12700" cap="rnd">
              <a:solidFill>
                <a:schemeClr val="accent4"/>
              </a:solidFill>
              <a:prstDash val="dash"/>
              <a:round/>
            </a:ln>
            <a:effectLst/>
          </c:spPr>
          <c:marker>
            <c:symbol val="none"/>
          </c:marker>
          <c:xVal>
            <c:numRef>
              <c:f>'75 Pct'!$C$49:$C$50</c:f>
              <c:numCache>
                <c:formatCode>#,##0</c:formatCode>
                <c:ptCount val="2"/>
                <c:pt idx="0">
                  <c:v>2500</c:v>
                </c:pt>
                <c:pt idx="1">
                  <c:v>0</c:v>
                </c:pt>
              </c:numCache>
            </c:numRef>
          </c:xVal>
          <c:yVal>
            <c:numRef>
              <c:f>'75 Pct'!$D$49:$D$50</c:f>
              <c:numCache>
                <c:formatCode>0.00</c:formatCode>
                <c:ptCount val="2"/>
                <c:pt idx="0">
                  <c:v>75.8</c:v>
                </c:pt>
                <c:pt idx="1">
                  <c:v>75.8</c:v>
                </c:pt>
              </c:numCache>
            </c:numRef>
          </c:yVal>
          <c:smooth val="1"/>
          <c:extLst>
            <c:ext xmlns:c16="http://schemas.microsoft.com/office/drawing/2014/chart" uri="{C3380CC4-5D6E-409C-BE32-E72D297353CC}">
              <c16:uniqueId val="{0000001F-C507-4D6D-A256-B8E0CFDB330C}"/>
            </c:ext>
          </c:extLst>
        </c:ser>
        <c:ser>
          <c:idx val="30"/>
          <c:order val="30"/>
          <c:tx>
            <c:v>75 Speed Tweaked</c:v>
          </c:tx>
          <c:spPr>
            <a:ln w="25400" cap="rnd">
              <a:solidFill>
                <a:srgbClr val="00B0F0"/>
              </a:solidFill>
              <a:prstDash val="lgDash"/>
              <a:round/>
            </a:ln>
            <a:effectLst/>
          </c:spPr>
          <c:marker>
            <c:symbol val="none"/>
          </c:marker>
          <c:xVal>
            <c:numRef>
              <c:f>'75 Pct Speed Estimate '!$C$74:$C$97</c:f>
              <c:numCache>
                <c:formatCode>#,##0</c:formatCode>
                <c:ptCount val="24"/>
                <c:pt idx="0">
                  <c:v>9.6059113300492626E-10</c:v>
                </c:pt>
                <c:pt idx="1">
                  <c:v>97.056206896551728</c:v>
                </c:pt>
                <c:pt idx="2">
                  <c:v>194.11241379310346</c:v>
                </c:pt>
                <c:pt idx="3">
                  <c:v>289.83916256157636</c:v>
                </c:pt>
                <c:pt idx="4">
                  <c:v>385.56591133004929</c:v>
                </c:pt>
                <c:pt idx="5">
                  <c:v>482.62211822660106</c:v>
                </c:pt>
                <c:pt idx="6">
                  <c:v>578.34886699507399</c:v>
                </c:pt>
                <c:pt idx="7">
                  <c:v>675.40507389162565</c:v>
                </c:pt>
                <c:pt idx="8">
                  <c:v>769.80236453201974</c:v>
                </c:pt>
                <c:pt idx="9">
                  <c:v>868.18802955665035</c:v>
                </c:pt>
                <c:pt idx="10">
                  <c:v>959.92640394088676</c:v>
                </c:pt>
                <c:pt idx="11">
                  <c:v>1058.3120689655173</c:v>
                </c:pt>
                <c:pt idx="12">
                  <c:v>1154.0349753694584</c:v>
                </c:pt>
                <c:pt idx="13">
                  <c:v>1251.093103448276</c:v>
                </c:pt>
                <c:pt idx="14">
                  <c:v>1346.8256157635467</c:v>
                </c:pt>
                <c:pt idx="15">
                  <c:v>1442.5485221674878</c:v>
                </c:pt>
                <c:pt idx="16">
                  <c:v>1536.9458128078818</c:v>
                </c:pt>
                <c:pt idx="17">
                  <c:v>1582.1512315270936</c:v>
                </c:pt>
                <c:pt idx="18">
                  <c:v>1632.6687192118229</c:v>
                </c:pt>
                <c:pt idx="19">
                  <c:v>1720.4187192118227</c:v>
                </c:pt>
                <c:pt idx="20">
                  <c:v>1774.9322660098524</c:v>
                </c:pt>
                <c:pt idx="21">
                  <c:v>1828.1105911330048</c:v>
                </c:pt>
                <c:pt idx="22">
                  <c:v>1871.99039408867</c:v>
                </c:pt>
                <c:pt idx="23">
                  <c:v>1934.4768472906403</c:v>
                </c:pt>
              </c:numCache>
            </c:numRef>
          </c:xVal>
          <c:yVal>
            <c:numRef>
              <c:f>'75 Pct Speed Estimate '!$E$74:$E$97</c:f>
              <c:numCache>
                <c:formatCode>#,##0</c:formatCode>
                <c:ptCount val="24"/>
                <c:pt idx="0">
                  <c:v>77.074513031133989</c:v>
                </c:pt>
                <c:pt idx="1">
                  <c:v>77.164387451770253</c:v>
                </c:pt>
                <c:pt idx="2">
                  <c:v>77.074513031133989</c:v>
                </c:pt>
                <c:pt idx="3">
                  <c:v>76.984546336965224</c:v>
                </c:pt>
                <c:pt idx="4">
                  <c:v>76.804705222160209</c:v>
                </c:pt>
                <c:pt idx="5">
                  <c:v>76.444930719017705</c:v>
                </c:pt>
                <c:pt idx="6">
                  <c:v>76.085156215875202</c:v>
                </c:pt>
                <c:pt idx="7">
                  <c:v>75.725473986265143</c:v>
                </c:pt>
                <c:pt idx="8">
                  <c:v>75.365699483122626</c:v>
                </c:pt>
                <c:pt idx="9">
                  <c:v>74.736117171006342</c:v>
                </c:pt>
                <c:pt idx="10">
                  <c:v>73.836819323448765</c:v>
                </c:pt>
                <c:pt idx="11">
                  <c:v>72.307939163774904</c:v>
                </c:pt>
                <c:pt idx="12">
                  <c:v>70.509251195127305</c:v>
                </c:pt>
                <c:pt idx="13">
                  <c:v>68.350788723337146</c:v>
                </c:pt>
                <c:pt idx="14">
                  <c:v>66.012485136741972</c:v>
                </c:pt>
                <c:pt idx="15">
                  <c:v>63.224440352835551</c:v>
                </c:pt>
                <c:pt idx="16">
                  <c:v>59.627064415540303</c:v>
                </c:pt>
                <c:pt idx="17">
                  <c:v>57.648443058555173</c:v>
                </c:pt>
                <c:pt idx="18">
                  <c:v>55.400106166128765</c:v>
                </c:pt>
                <c:pt idx="19">
                  <c:v>50.90334010774346</c:v>
                </c:pt>
                <c:pt idx="20">
                  <c:v>47.395838591084477</c:v>
                </c:pt>
                <c:pt idx="21">
                  <c:v>43.708495959620478</c:v>
                </c:pt>
                <c:pt idx="22">
                  <c:v>40.470802251935261</c:v>
                </c:pt>
                <c:pt idx="23">
                  <c:v>35.434512849134904</c:v>
                </c:pt>
              </c:numCache>
            </c:numRef>
          </c:yVal>
          <c:smooth val="1"/>
          <c:extLst>
            <c:ext xmlns:c16="http://schemas.microsoft.com/office/drawing/2014/chart" uri="{C3380CC4-5D6E-409C-BE32-E72D297353CC}">
              <c16:uniqueId val="{00000020-C507-4D6D-A256-B8E0CFDB330C}"/>
            </c:ext>
          </c:extLst>
        </c:ser>
        <c:dLbls>
          <c:showLegendKey val="0"/>
          <c:showVal val="0"/>
          <c:showCatName val="0"/>
          <c:showSerName val="0"/>
          <c:showPercent val="0"/>
          <c:showBubbleSize val="0"/>
        </c:dLbls>
        <c:axId val="1025883512"/>
        <c:axId val="1025891744"/>
      </c:scatterChart>
      <c:valAx>
        <c:axId val="1025883512"/>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91744"/>
        <c:crosses val="autoZero"/>
        <c:crossBetween val="midCat"/>
        <c:majorUnit val="500"/>
        <c:minorUnit val="100"/>
      </c:valAx>
      <c:valAx>
        <c:axId val="1025891744"/>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 ft.w.c.</a:t>
                </a:r>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3512"/>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
          <c:order val="0"/>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907D-49EE-9708-8ABE05D14E10}"/>
            </c:ext>
          </c:extLst>
        </c:ser>
        <c:ser>
          <c:idx val="3"/>
          <c:order val="1"/>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907D-49EE-9708-8ABE05D14E10}"/>
            </c:ext>
          </c:extLst>
        </c:ser>
        <c:ser>
          <c:idx val="4"/>
          <c:order val="2"/>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907D-49EE-9708-8ABE05D14E10}"/>
            </c:ext>
          </c:extLst>
        </c:ser>
        <c:ser>
          <c:idx val="5"/>
          <c:order val="3"/>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907D-49EE-9708-8ABE05D14E10}"/>
            </c:ext>
          </c:extLst>
        </c:ser>
        <c:ser>
          <c:idx val="6"/>
          <c:order val="4"/>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907D-49EE-9708-8ABE05D14E10}"/>
            </c:ext>
          </c:extLst>
        </c:ser>
        <c:ser>
          <c:idx val="7"/>
          <c:order val="5"/>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907D-49EE-9708-8ABE05D14E10}"/>
            </c:ext>
          </c:extLst>
        </c:ser>
        <c:ser>
          <c:idx val="8"/>
          <c:order val="6"/>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907D-49EE-9708-8ABE05D14E10}"/>
            </c:ext>
          </c:extLst>
        </c:ser>
        <c:ser>
          <c:idx val="9"/>
          <c:order val="7"/>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907D-49EE-9708-8ABE05D14E10}"/>
            </c:ext>
          </c:extLst>
        </c:ser>
        <c:ser>
          <c:idx val="10"/>
          <c:order val="8"/>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907D-49EE-9708-8ABE05D14E10}"/>
            </c:ext>
          </c:extLst>
        </c:ser>
        <c:ser>
          <c:idx val="11"/>
          <c:order val="9"/>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907D-49EE-9708-8ABE05D14E10}"/>
            </c:ext>
          </c:extLst>
        </c:ser>
        <c:ser>
          <c:idx val="12"/>
          <c:order val="10"/>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907D-49EE-9708-8ABE05D14E10}"/>
            </c:ext>
          </c:extLst>
        </c:ser>
        <c:ser>
          <c:idx val="16"/>
          <c:order val="11"/>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907D-49EE-9708-8ABE05D14E10}"/>
            </c:ext>
          </c:extLst>
        </c:ser>
        <c:ser>
          <c:idx val="17"/>
          <c:order val="12"/>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907D-49EE-9708-8ABE05D14E10}"/>
            </c:ext>
          </c:extLst>
        </c:ser>
        <c:ser>
          <c:idx val="18"/>
          <c:order val="13"/>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907D-49EE-9708-8ABE05D14E10}"/>
            </c:ext>
          </c:extLst>
        </c:ser>
        <c:ser>
          <c:idx val="19"/>
          <c:order val="14"/>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907D-49EE-9708-8ABE05D14E10}"/>
            </c:ext>
          </c:extLst>
        </c:ser>
        <c:ser>
          <c:idx val="20"/>
          <c:order val="15"/>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907D-49EE-9708-8ABE05D14E10}"/>
            </c:ext>
          </c:extLst>
        </c:ser>
        <c:ser>
          <c:idx val="21"/>
          <c:order val="16"/>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907D-49EE-9708-8ABE05D14E10}"/>
            </c:ext>
          </c:extLst>
        </c:ser>
        <c:ser>
          <c:idx val="0"/>
          <c:order val="17"/>
          <c:tx>
            <c:strRef>
              <c:f>'Impeller 6G 1150'!$O$6:$P$6</c:f>
              <c:strCache>
                <c:ptCount val="1"/>
                <c:pt idx="0">
                  <c:v>13.5 Inch</c:v>
                </c:pt>
              </c:strCache>
            </c:strRef>
          </c:tx>
          <c:spPr>
            <a:ln w="25400" cap="rnd">
              <a:solidFill>
                <a:srgbClr val="FF0000"/>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907D-49EE-9708-8ABE05D14E10}"/>
            </c:ext>
          </c:extLst>
        </c:ser>
        <c:ser>
          <c:idx val="13"/>
          <c:order val="18"/>
          <c:tx>
            <c:v>System Curve</c:v>
          </c:tx>
          <c:spPr>
            <a:ln w="25400" cap="rnd">
              <a:solidFill>
                <a:schemeClr val="accent6"/>
              </a:solidFill>
              <a:round/>
            </a:ln>
            <a:effectLst/>
          </c:spPr>
          <c:marker>
            <c:symbol val="none"/>
          </c:marker>
          <c:xVal>
            <c:numRef>
              <c:f>'Design Point System Curve'!$C$25:$C$42</c:f>
              <c:numCache>
                <c:formatCode>#,##0</c:formatCode>
                <c:ptCount val="18"/>
                <c:pt idx="0">
                  <c:v>1819.9999999999998</c:v>
                </c:pt>
                <c:pt idx="1">
                  <c:v>1560</c:v>
                </c:pt>
                <c:pt idx="2">
                  <c:v>1300</c:v>
                </c:pt>
                <c:pt idx="3">
                  <c:v>1040</c:v>
                </c:pt>
                <c:pt idx="4">
                  <c:v>780</c:v>
                </c:pt>
                <c:pt idx="5">
                  <c:v>520</c:v>
                </c:pt>
                <c:pt idx="6">
                  <c:v>390</c:v>
                </c:pt>
                <c:pt idx="7">
                  <c:v>260</c:v>
                </c:pt>
                <c:pt idx="8">
                  <c:v>234</c:v>
                </c:pt>
                <c:pt idx="9">
                  <c:v>208</c:v>
                </c:pt>
                <c:pt idx="10">
                  <c:v>182.00000000000003</c:v>
                </c:pt>
                <c:pt idx="11">
                  <c:v>156</c:v>
                </c:pt>
                <c:pt idx="12">
                  <c:v>130</c:v>
                </c:pt>
                <c:pt idx="13">
                  <c:v>104</c:v>
                </c:pt>
                <c:pt idx="14">
                  <c:v>78</c:v>
                </c:pt>
                <c:pt idx="15">
                  <c:v>31.2</c:v>
                </c:pt>
                <c:pt idx="16">
                  <c:v>15.6</c:v>
                </c:pt>
                <c:pt idx="17">
                  <c:v>0</c:v>
                </c:pt>
              </c:numCache>
            </c:numRef>
          </c:xVal>
          <c:yVal>
            <c:numRef>
              <c:f>'Design Point System Curve'!$D$25:$D$42</c:f>
              <c:numCache>
                <c:formatCode>0.00</c:formatCode>
                <c:ptCount val="18"/>
                <c:pt idx="0">
                  <c:v>137.19999999999999</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2-907D-49EE-9708-8ABE05D14E10}"/>
            </c:ext>
          </c:extLst>
        </c:ser>
        <c:ser>
          <c:idx val="14"/>
          <c:order val="19"/>
          <c:tx>
            <c:v>Design Head</c:v>
          </c:tx>
          <c:spPr>
            <a:ln w="12700" cap="rnd">
              <a:solidFill>
                <a:schemeClr val="accent5"/>
              </a:solidFill>
              <a:prstDash val="dash"/>
              <a:round/>
            </a:ln>
            <a:effectLst/>
          </c:spPr>
          <c:marker>
            <c:symbol val="none"/>
          </c:marker>
          <c:xVal>
            <c:numRef>
              <c:f>'Design Point System Curve'!$C$45:$C$46</c:f>
              <c:numCache>
                <c:formatCode>#,##0</c:formatCode>
                <c:ptCount val="2"/>
                <c:pt idx="0">
                  <c:v>2500</c:v>
                </c:pt>
                <c:pt idx="1">
                  <c:v>0</c:v>
                </c:pt>
              </c:numCache>
            </c:numRef>
          </c:xVal>
          <c:yVal>
            <c:numRef>
              <c:f>'Design Point System Curve'!$D$45:$D$46</c:f>
              <c:numCache>
                <c:formatCode>0.00</c:formatCode>
                <c:ptCount val="2"/>
                <c:pt idx="0">
                  <c:v>70</c:v>
                </c:pt>
                <c:pt idx="1">
                  <c:v>70</c:v>
                </c:pt>
              </c:numCache>
            </c:numRef>
          </c:yVal>
          <c:smooth val="1"/>
          <c:extLst>
            <c:ext xmlns:c16="http://schemas.microsoft.com/office/drawing/2014/chart" uri="{C3380CC4-5D6E-409C-BE32-E72D297353CC}">
              <c16:uniqueId val="{00000013-907D-49EE-9708-8ABE05D14E10}"/>
            </c:ext>
          </c:extLst>
        </c:ser>
        <c:ser>
          <c:idx val="15"/>
          <c:order val="20"/>
          <c:tx>
            <c:v>Design Flow</c:v>
          </c:tx>
          <c:spPr>
            <a:ln w="12700" cap="rnd">
              <a:solidFill>
                <a:schemeClr val="accent5"/>
              </a:solidFill>
              <a:prstDash val="dash"/>
              <a:round/>
            </a:ln>
            <a:effectLst/>
          </c:spPr>
          <c:marker>
            <c:symbol val="none"/>
          </c:marker>
          <c:xVal>
            <c:numRef>
              <c:f>'Design Point System Curve'!$C$47:$C$48</c:f>
              <c:numCache>
                <c:formatCode>#,##0</c:formatCode>
                <c:ptCount val="2"/>
                <c:pt idx="0">
                  <c:v>1300</c:v>
                </c:pt>
                <c:pt idx="1">
                  <c:v>1300</c:v>
                </c:pt>
              </c:numCache>
            </c:numRef>
          </c:xVal>
          <c:yVal>
            <c:numRef>
              <c:f>'Design Point System Curve'!$D$47:$D$48</c:f>
              <c:numCache>
                <c:formatCode>0.00</c:formatCode>
                <c:ptCount val="2"/>
                <c:pt idx="0">
                  <c:v>90</c:v>
                </c:pt>
                <c:pt idx="1">
                  <c:v>0</c:v>
                </c:pt>
              </c:numCache>
            </c:numRef>
          </c:yVal>
          <c:smooth val="1"/>
          <c:extLst>
            <c:ext xmlns:c16="http://schemas.microsoft.com/office/drawing/2014/chart" uri="{C3380CC4-5D6E-409C-BE32-E72D297353CC}">
              <c16:uniqueId val="{00000014-907D-49EE-9708-8ABE05D14E10}"/>
            </c:ext>
          </c:extLst>
        </c:ser>
        <c:ser>
          <c:idx val="22"/>
          <c:order val="21"/>
          <c:tx>
            <c:v>Design Point</c:v>
          </c:tx>
          <c:spPr>
            <a:ln w="19050" cap="rnd">
              <a:noFill/>
              <a:round/>
            </a:ln>
            <a:effectLst/>
          </c:spPr>
          <c:marker>
            <c:symbol val="circle"/>
            <c:size val="8"/>
            <c:spPr>
              <a:solidFill>
                <a:schemeClr val="accent2">
                  <a:alpha val="50000"/>
                </a:schemeClr>
              </a:solidFill>
              <a:ln w="19050">
                <a:solidFill>
                  <a:schemeClr val="accent5"/>
                </a:solidFill>
              </a:ln>
              <a:effectLst/>
            </c:spPr>
          </c:marker>
          <c:xVal>
            <c:numRef>
              <c:f>'Design Point System Curve'!$C$10</c:f>
              <c:numCache>
                <c:formatCode>#,##0</c:formatCode>
                <c:ptCount val="1"/>
                <c:pt idx="0">
                  <c:v>1300</c:v>
                </c:pt>
              </c:numCache>
            </c:numRef>
          </c:xVal>
          <c:yVal>
            <c:numRef>
              <c:f>'Design Point System Curve'!$C$11</c:f>
              <c:numCache>
                <c:formatCode>0.00</c:formatCode>
                <c:ptCount val="1"/>
                <c:pt idx="0">
                  <c:v>70</c:v>
                </c:pt>
              </c:numCache>
            </c:numRef>
          </c:yVal>
          <c:smooth val="1"/>
          <c:extLst>
            <c:ext xmlns:c16="http://schemas.microsoft.com/office/drawing/2014/chart" uri="{C3380CC4-5D6E-409C-BE32-E72D297353CC}">
              <c16:uniqueId val="{00000015-907D-49EE-9708-8ABE05D14E10}"/>
            </c:ext>
          </c:extLst>
        </c:ser>
        <c:ser>
          <c:idx val="23"/>
          <c:order val="22"/>
          <c:tx>
            <c:v>75%</c:v>
          </c:tx>
          <c:spPr>
            <a:ln w="19050" cap="rnd">
              <a:solidFill>
                <a:schemeClr val="accent6">
                  <a:lumMod val="80000"/>
                </a:schemeClr>
              </a:solidFill>
              <a:round/>
            </a:ln>
            <a:effectLst/>
          </c:spPr>
          <c:marker>
            <c:symbol val="circle"/>
            <c:size val="8"/>
            <c:spPr>
              <a:solidFill>
                <a:schemeClr val="accent2">
                  <a:alpha val="50000"/>
                </a:schemeClr>
              </a:solidFill>
              <a:ln w="19050">
                <a:solidFill>
                  <a:srgbClr val="00B0F0"/>
                </a:solidFill>
              </a:ln>
              <a:effectLst/>
            </c:spPr>
          </c:marker>
          <c:xVal>
            <c:numRef>
              <c:f>'75 Pct'!$C$10</c:f>
              <c:numCache>
                <c:formatCode>#,##0</c:formatCode>
                <c:ptCount val="1"/>
                <c:pt idx="0">
                  <c:v>975</c:v>
                </c:pt>
              </c:numCache>
            </c:numRef>
          </c:xVal>
          <c:yVal>
            <c:numRef>
              <c:f>'75 Pct'!$C$11</c:f>
              <c:numCache>
                <c:formatCode>0.00</c:formatCode>
                <c:ptCount val="1"/>
                <c:pt idx="0">
                  <c:v>70</c:v>
                </c:pt>
              </c:numCache>
            </c:numRef>
          </c:yVal>
          <c:smooth val="1"/>
          <c:extLst>
            <c:ext xmlns:c16="http://schemas.microsoft.com/office/drawing/2014/chart" uri="{C3380CC4-5D6E-409C-BE32-E72D297353CC}">
              <c16:uniqueId val="{00000016-907D-49EE-9708-8ABE05D14E10}"/>
            </c:ext>
          </c:extLst>
        </c:ser>
        <c:ser>
          <c:idx val="24"/>
          <c:order val="23"/>
          <c:tx>
            <c:v>75% Head</c:v>
          </c:tx>
          <c:spPr>
            <a:ln w="12700" cap="rnd">
              <a:solidFill>
                <a:srgbClr val="00B0F0"/>
              </a:solidFill>
              <a:prstDash val="dash"/>
              <a:round/>
            </a:ln>
            <a:effectLst/>
          </c:spPr>
          <c:marker>
            <c:symbol val="none"/>
          </c:marker>
          <c:xVal>
            <c:numRef>
              <c:f>'75 Pct'!$C$43:$C$44</c:f>
              <c:numCache>
                <c:formatCode>#,##0</c:formatCode>
                <c:ptCount val="2"/>
                <c:pt idx="0">
                  <c:v>2500</c:v>
                </c:pt>
                <c:pt idx="1">
                  <c:v>0</c:v>
                </c:pt>
              </c:numCache>
            </c:numRef>
          </c:xVal>
          <c:yVal>
            <c:numRef>
              <c:f>'75 Pct'!$D$43:$D$44</c:f>
              <c:numCache>
                <c:formatCode>0.00</c:formatCode>
                <c:ptCount val="2"/>
                <c:pt idx="0">
                  <c:v>70</c:v>
                </c:pt>
                <c:pt idx="1">
                  <c:v>70</c:v>
                </c:pt>
              </c:numCache>
            </c:numRef>
          </c:yVal>
          <c:smooth val="1"/>
          <c:extLst>
            <c:ext xmlns:c16="http://schemas.microsoft.com/office/drawing/2014/chart" uri="{C3380CC4-5D6E-409C-BE32-E72D297353CC}">
              <c16:uniqueId val="{00000017-907D-49EE-9708-8ABE05D14E10}"/>
            </c:ext>
          </c:extLst>
        </c:ser>
        <c:ser>
          <c:idx val="25"/>
          <c:order val="24"/>
          <c:tx>
            <c:v>75% Flow</c:v>
          </c:tx>
          <c:spPr>
            <a:ln w="12700" cap="rnd">
              <a:solidFill>
                <a:schemeClr val="accent2">
                  <a:lumMod val="60000"/>
                  <a:lumOff val="40000"/>
                </a:schemeClr>
              </a:solidFill>
              <a:round/>
            </a:ln>
            <a:effectLst/>
          </c:spPr>
          <c:marker>
            <c:symbol val="none"/>
          </c:marker>
          <c:dPt>
            <c:idx val="1"/>
            <c:marker>
              <c:symbol val="none"/>
            </c:marker>
            <c:bubble3D val="0"/>
            <c:spPr>
              <a:ln w="12700" cap="rnd">
                <a:solidFill>
                  <a:srgbClr val="00B0F0"/>
                </a:solidFill>
                <a:prstDash val="dash"/>
                <a:round/>
              </a:ln>
              <a:effectLst/>
            </c:spPr>
            <c:extLst>
              <c:ext xmlns:c16="http://schemas.microsoft.com/office/drawing/2014/chart" uri="{C3380CC4-5D6E-409C-BE32-E72D297353CC}">
                <c16:uniqueId val="{00000019-907D-49EE-9708-8ABE05D14E10}"/>
              </c:ext>
            </c:extLst>
          </c:dPt>
          <c:xVal>
            <c:numRef>
              <c:f>'75 Pct'!$C$45:$C$46</c:f>
              <c:numCache>
                <c:formatCode>#,##0</c:formatCode>
                <c:ptCount val="2"/>
                <c:pt idx="0">
                  <c:v>975</c:v>
                </c:pt>
                <c:pt idx="1">
                  <c:v>975</c:v>
                </c:pt>
              </c:numCache>
            </c:numRef>
          </c:xVal>
          <c:yVal>
            <c:numRef>
              <c:f>'75 Pct'!$D$45:$D$46</c:f>
              <c:numCache>
                <c:formatCode>0.00</c:formatCode>
                <c:ptCount val="2"/>
                <c:pt idx="0">
                  <c:v>90</c:v>
                </c:pt>
                <c:pt idx="1">
                  <c:v>0</c:v>
                </c:pt>
              </c:numCache>
            </c:numRef>
          </c:yVal>
          <c:smooth val="1"/>
          <c:extLst>
            <c:ext xmlns:c16="http://schemas.microsoft.com/office/drawing/2014/chart" uri="{C3380CC4-5D6E-409C-BE32-E72D297353CC}">
              <c16:uniqueId val="{0000001A-907D-49EE-9708-8ABE05D14E10}"/>
            </c:ext>
          </c:extLst>
        </c:ser>
        <c:ser>
          <c:idx val="26"/>
          <c:order val="25"/>
          <c:tx>
            <c:v>Design Impeller</c:v>
          </c:tx>
          <c:spPr>
            <a:ln w="25400" cap="rnd">
              <a:solidFill>
                <a:schemeClr val="accent5"/>
              </a:solidFill>
              <a:prstDash val="lgDash"/>
              <a:round/>
            </a:ln>
            <a:effectLst/>
          </c:spPr>
          <c:marker>
            <c:symbol val="none"/>
          </c:marker>
          <c:xVal>
            <c:numRef>
              <c:f>'Design Impeller from Largest'!$C$68:$C$91</c:f>
              <c:numCache>
                <c:formatCode>#,##0</c:formatCode>
                <c:ptCount val="24"/>
                <c:pt idx="0">
                  <c:v>9.7744360902255649E-10</c:v>
                </c:pt>
                <c:pt idx="1">
                  <c:v>98.758947368421047</c:v>
                </c:pt>
                <c:pt idx="2">
                  <c:v>197.51789473684209</c:v>
                </c:pt>
                <c:pt idx="3">
                  <c:v>294.92406015037596</c:v>
                </c:pt>
                <c:pt idx="4">
                  <c:v>392.33022556390978</c:v>
                </c:pt>
                <c:pt idx="5">
                  <c:v>491.08917293233083</c:v>
                </c:pt>
                <c:pt idx="6">
                  <c:v>588.49533834586464</c:v>
                </c:pt>
                <c:pt idx="7">
                  <c:v>687.25428571428574</c:v>
                </c:pt>
                <c:pt idx="8">
                  <c:v>783.30766917293226</c:v>
                </c:pt>
                <c:pt idx="9">
                  <c:v>883.41939849624055</c:v>
                </c:pt>
                <c:pt idx="10">
                  <c:v>976.76721804511271</c:v>
                </c:pt>
                <c:pt idx="11">
                  <c:v>1076.878947368421</c:v>
                </c:pt>
                <c:pt idx="12">
                  <c:v>1174.2812030075188</c:v>
                </c:pt>
                <c:pt idx="13">
                  <c:v>1273.042105263158</c:v>
                </c:pt>
                <c:pt idx="14">
                  <c:v>1370.4541353383456</c:v>
                </c:pt>
                <c:pt idx="15">
                  <c:v>1467.8563909774437</c:v>
                </c:pt>
                <c:pt idx="16">
                  <c:v>1563.9097744360902</c:v>
                </c:pt>
                <c:pt idx="17">
                  <c:v>1609.9082706766917</c:v>
                </c:pt>
                <c:pt idx="18">
                  <c:v>1661.312030075188</c:v>
                </c:pt>
                <c:pt idx="19">
                  <c:v>1750.6015037593984</c:v>
                </c:pt>
                <c:pt idx="20">
                  <c:v>1806.0714285714284</c:v>
                </c:pt>
                <c:pt idx="21">
                  <c:v>1860.1827067669171</c:v>
                </c:pt>
                <c:pt idx="22">
                  <c:v>1904.8323308270676</c:v>
                </c:pt>
                <c:pt idx="23">
                  <c:v>1968.4150375939848</c:v>
                </c:pt>
              </c:numCache>
            </c:numRef>
          </c:xVal>
          <c:yVal>
            <c:numRef>
              <c:f>'Design Impeller from Largest'!$E$68:$E$91</c:f>
              <c:numCache>
                <c:formatCode>#,##0</c:formatCode>
                <c:ptCount val="24"/>
                <c:pt idx="0">
                  <c:v>79.802604443439435</c:v>
                </c:pt>
                <c:pt idx="1">
                  <c:v>79.895660014698379</c:v>
                </c:pt>
                <c:pt idx="2">
                  <c:v>79.802604443439421</c:v>
                </c:pt>
                <c:pt idx="3">
                  <c:v>79.709453332579585</c:v>
                </c:pt>
                <c:pt idx="4">
                  <c:v>79.523246650460734</c:v>
                </c:pt>
                <c:pt idx="5">
                  <c:v>79.150737746622184</c:v>
                </c:pt>
                <c:pt idx="6">
                  <c:v>78.778228842783648</c:v>
                </c:pt>
                <c:pt idx="7">
                  <c:v>78.405815478545975</c:v>
                </c:pt>
                <c:pt idx="8">
                  <c:v>78.033306574707439</c:v>
                </c:pt>
                <c:pt idx="9">
                  <c:v>77.381439877890202</c:v>
                </c:pt>
                <c:pt idx="10">
                  <c:v>76.450310927695156</c:v>
                </c:pt>
                <c:pt idx="11">
                  <c:v>74.867315280682902</c:v>
                </c:pt>
                <c:pt idx="12">
                  <c:v>73.004961840691948</c:v>
                </c:pt>
                <c:pt idx="13">
                  <c:v>70.770099496862443</c:v>
                </c:pt>
                <c:pt idx="14">
                  <c:v>68.349030470914116</c:v>
                </c:pt>
                <c:pt idx="15">
                  <c:v>65.462301430267402</c:v>
                </c:pt>
                <c:pt idx="16">
                  <c:v>61.737594550285479</c:v>
                </c:pt>
                <c:pt idx="17">
                  <c:v>59.688938888574825</c:v>
                </c:pt>
                <c:pt idx="18">
                  <c:v>57.36102097348634</c:v>
                </c:pt>
                <c:pt idx="19">
                  <c:v>52.705089603708515</c:v>
                </c:pt>
                <c:pt idx="20">
                  <c:v>49.073438294985579</c:v>
                </c:pt>
                <c:pt idx="21">
                  <c:v>45.255580304143812</c:v>
                </c:pt>
                <c:pt idx="22">
                  <c:v>41.903286788399562</c:v>
                </c:pt>
                <c:pt idx="23">
                  <c:v>36.688735372265249</c:v>
                </c:pt>
              </c:numCache>
            </c:numRef>
          </c:yVal>
          <c:smooth val="1"/>
          <c:extLst>
            <c:ext xmlns:c16="http://schemas.microsoft.com/office/drawing/2014/chart" uri="{C3380CC4-5D6E-409C-BE32-E72D297353CC}">
              <c16:uniqueId val="{0000001B-907D-49EE-9708-8ABE05D14E10}"/>
            </c:ext>
          </c:extLst>
        </c:ser>
        <c:ser>
          <c:idx val="1"/>
          <c:order val="26"/>
          <c:tx>
            <c:v>75% System Curve</c:v>
          </c:tx>
          <c:spPr>
            <a:ln w="25400" cap="rnd">
              <a:solidFill>
                <a:srgbClr val="00B0F0"/>
              </a:solidFill>
              <a:round/>
            </a:ln>
            <a:effectLst/>
          </c:spPr>
          <c:marker>
            <c:symbol val="none"/>
          </c:marker>
          <c:xVal>
            <c:numRef>
              <c:f>'75 Pct'!$C$23:$C$40</c:f>
              <c:numCache>
                <c:formatCode>#,##0</c:formatCode>
                <c:ptCount val="18"/>
                <c:pt idx="0">
                  <c:v>1560</c:v>
                </c:pt>
                <c:pt idx="1">
                  <c:v>1170</c:v>
                </c:pt>
                <c:pt idx="2">
                  <c:v>975</c:v>
                </c:pt>
                <c:pt idx="3">
                  <c:v>780</c:v>
                </c:pt>
                <c:pt idx="4">
                  <c:v>585</c:v>
                </c:pt>
                <c:pt idx="5">
                  <c:v>390</c:v>
                </c:pt>
                <c:pt idx="6">
                  <c:v>292.5</c:v>
                </c:pt>
                <c:pt idx="7">
                  <c:v>195</c:v>
                </c:pt>
                <c:pt idx="8">
                  <c:v>175.5</c:v>
                </c:pt>
                <c:pt idx="9">
                  <c:v>156</c:v>
                </c:pt>
                <c:pt idx="10">
                  <c:v>136.5</c:v>
                </c:pt>
                <c:pt idx="11">
                  <c:v>117</c:v>
                </c:pt>
                <c:pt idx="12">
                  <c:v>97.5</c:v>
                </c:pt>
                <c:pt idx="13">
                  <c:v>78</c:v>
                </c:pt>
                <c:pt idx="14">
                  <c:v>58.5</c:v>
                </c:pt>
                <c:pt idx="15">
                  <c:v>23.400000000000002</c:v>
                </c:pt>
                <c:pt idx="16">
                  <c:v>11.700000000000001</c:v>
                </c:pt>
                <c:pt idx="17">
                  <c:v>0</c:v>
                </c:pt>
              </c:numCache>
            </c:numRef>
          </c:xVal>
          <c:yVal>
            <c:numRef>
              <c:f>'75 Pct'!$D$23:$D$40</c:f>
              <c:numCache>
                <c:formatCode>0.00</c:formatCode>
                <c:ptCount val="18"/>
                <c:pt idx="0">
                  <c:v>179.20000000000005</c:v>
                </c:pt>
                <c:pt idx="1">
                  <c:v>100.8</c:v>
                </c:pt>
                <c:pt idx="2">
                  <c:v>70</c:v>
                </c:pt>
                <c:pt idx="3">
                  <c:v>44.800000000000011</c:v>
                </c:pt>
                <c:pt idx="4">
                  <c:v>25.2</c:v>
                </c:pt>
                <c:pt idx="5">
                  <c:v>11.200000000000003</c:v>
                </c:pt>
                <c:pt idx="6">
                  <c:v>6.3</c:v>
                </c:pt>
                <c:pt idx="7">
                  <c:v>2.8000000000000007</c:v>
                </c:pt>
                <c:pt idx="8">
                  <c:v>2.2679999999999998</c:v>
                </c:pt>
                <c:pt idx="9">
                  <c:v>1.792</c:v>
                </c:pt>
                <c:pt idx="10">
                  <c:v>1.3720000000000001</c:v>
                </c:pt>
                <c:pt idx="11">
                  <c:v>1.008</c:v>
                </c:pt>
                <c:pt idx="12">
                  <c:v>0.70000000000000018</c:v>
                </c:pt>
                <c:pt idx="13">
                  <c:v>0.44800000000000001</c:v>
                </c:pt>
                <c:pt idx="14">
                  <c:v>0.252</c:v>
                </c:pt>
                <c:pt idx="15">
                  <c:v>4.0320000000000002E-2</c:v>
                </c:pt>
                <c:pt idx="16">
                  <c:v>1.008E-2</c:v>
                </c:pt>
                <c:pt idx="17">
                  <c:v>0</c:v>
                </c:pt>
              </c:numCache>
            </c:numRef>
          </c:yVal>
          <c:smooth val="1"/>
          <c:extLst>
            <c:ext xmlns:c16="http://schemas.microsoft.com/office/drawing/2014/chart" uri="{C3380CC4-5D6E-409C-BE32-E72D297353CC}">
              <c16:uniqueId val="{0000001C-907D-49EE-9708-8ABE05D14E10}"/>
            </c:ext>
          </c:extLst>
        </c:ser>
        <c:ser>
          <c:idx val="27"/>
          <c:order val="27"/>
          <c:tx>
            <c:v>75% Impeller Curve Point</c:v>
          </c:tx>
          <c:spPr>
            <a:ln w="19050" cap="rnd">
              <a:solidFill>
                <a:schemeClr val="accent4">
                  <a:lumMod val="60000"/>
                  <a:lumOff val="40000"/>
                </a:schemeClr>
              </a:solidFill>
              <a:round/>
            </a:ln>
            <a:effectLst/>
          </c:spPr>
          <c:marker>
            <c:symbol val="circle"/>
            <c:size val="8"/>
            <c:spPr>
              <a:solidFill>
                <a:schemeClr val="accent2">
                  <a:alpha val="50000"/>
                </a:schemeClr>
              </a:solidFill>
              <a:ln w="19050">
                <a:solidFill>
                  <a:schemeClr val="accent4"/>
                </a:solidFill>
              </a:ln>
              <a:effectLst/>
            </c:spPr>
          </c:marker>
          <c:xVal>
            <c:numRef>
              <c:f>'75 Pct'!$C$51</c:f>
              <c:numCache>
                <c:formatCode>#,##0</c:formatCode>
                <c:ptCount val="1"/>
                <c:pt idx="0">
                  <c:v>1015</c:v>
                </c:pt>
              </c:numCache>
            </c:numRef>
          </c:xVal>
          <c:yVal>
            <c:numRef>
              <c:f>'75 Pct'!$D$49</c:f>
              <c:numCache>
                <c:formatCode>0.00</c:formatCode>
                <c:ptCount val="1"/>
                <c:pt idx="0">
                  <c:v>75.8</c:v>
                </c:pt>
              </c:numCache>
            </c:numRef>
          </c:yVal>
          <c:smooth val="1"/>
          <c:extLst>
            <c:ext xmlns:c16="http://schemas.microsoft.com/office/drawing/2014/chart" uri="{C3380CC4-5D6E-409C-BE32-E72D297353CC}">
              <c16:uniqueId val="{0000001D-907D-49EE-9708-8ABE05D14E10}"/>
            </c:ext>
          </c:extLst>
        </c:ser>
        <c:ser>
          <c:idx val="28"/>
          <c:order val="28"/>
          <c:tx>
            <c:v>75% Impeller Curve Flow</c:v>
          </c:tx>
          <c:spPr>
            <a:ln w="12700" cap="rnd">
              <a:solidFill>
                <a:schemeClr val="accent4"/>
              </a:solidFill>
              <a:prstDash val="dash"/>
              <a:round/>
            </a:ln>
            <a:effectLst/>
          </c:spPr>
          <c:marker>
            <c:symbol val="none"/>
          </c:marker>
          <c:xVal>
            <c:numRef>
              <c:f>'75 Pct'!$C$51:$C$52</c:f>
              <c:numCache>
                <c:formatCode>#,##0</c:formatCode>
                <c:ptCount val="2"/>
                <c:pt idx="0">
                  <c:v>1015</c:v>
                </c:pt>
                <c:pt idx="1">
                  <c:v>1015</c:v>
                </c:pt>
              </c:numCache>
            </c:numRef>
          </c:xVal>
          <c:yVal>
            <c:numRef>
              <c:f>'75 Pct'!$D$51:$D$52</c:f>
              <c:numCache>
                <c:formatCode>0.00</c:formatCode>
                <c:ptCount val="2"/>
                <c:pt idx="0">
                  <c:v>90</c:v>
                </c:pt>
                <c:pt idx="1">
                  <c:v>0</c:v>
                </c:pt>
              </c:numCache>
            </c:numRef>
          </c:yVal>
          <c:smooth val="1"/>
          <c:extLst>
            <c:ext xmlns:c16="http://schemas.microsoft.com/office/drawing/2014/chart" uri="{C3380CC4-5D6E-409C-BE32-E72D297353CC}">
              <c16:uniqueId val="{0000001E-907D-49EE-9708-8ABE05D14E10}"/>
            </c:ext>
          </c:extLst>
        </c:ser>
        <c:ser>
          <c:idx val="29"/>
          <c:order val="29"/>
          <c:tx>
            <c:v>75% Impeller Curve Head</c:v>
          </c:tx>
          <c:spPr>
            <a:ln w="12700" cap="rnd">
              <a:solidFill>
                <a:schemeClr val="accent4"/>
              </a:solidFill>
              <a:prstDash val="dash"/>
              <a:round/>
            </a:ln>
            <a:effectLst/>
          </c:spPr>
          <c:marker>
            <c:symbol val="none"/>
          </c:marker>
          <c:xVal>
            <c:numRef>
              <c:f>'75 Pct'!$C$49:$C$50</c:f>
              <c:numCache>
                <c:formatCode>#,##0</c:formatCode>
                <c:ptCount val="2"/>
                <c:pt idx="0">
                  <c:v>2500</c:v>
                </c:pt>
                <c:pt idx="1">
                  <c:v>0</c:v>
                </c:pt>
              </c:numCache>
            </c:numRef>
          </c:xVal>
          <c:yVal>
            <c:numRef>
              <c:f>'75 Pct'!$D$49:$D$50</c:f>
              <c:numCache>
                <c:formatCode>0.00</c:formatCode>
                <c:ptCount val="2"/>
                <c:pt idx="0">
                  <c:v>75.8</c:v>
                </c:pt>
                <c:pt idx="1">
                  <c:v>75.8</c:v>
                </c:pt>
              </c:numCache>
            </c:numRef>
          </c:yVal>
          <c:smooth val="1"/>
          <c:extLst>
            <c:ext xmlns:c16="http://schemas.microsoft.com/office/drawing/2014/chart" uri="{C3380CC4-5D6E-409C-BE32-E72D297353CC}">
              <c16:uniqueId val="{0000001F-907D-49EE-9708-8ABE05D14E10}"/>
            </c:ext>
          </c:extLst>
        </c:ser>
        <c:ser>
          <c:idx val="30"/>
          <c:order val="30"/>
          <c:tx>
            <c:v>75 Speed Tweaked</c:v>
          </c:tx>
          <c:spPr>
            <a:ln w="25400" cap="rnd">
              <a:solidFill>
                <a:srgbClr val="00B0F0"/>
              </a:solidFill>
              <a:prstDash val="lgDash"/>
              <a:round/>
            </a:ln>
            <a:effectLst/>
          </c:spPr>
          <c:marker>
            <c:symbol val="none"/>
          </c:marker>
          <c:xVal>
            <c:numRef>
              <c:f>'75 Pct Speed Estimate Tweak'!$C$74:$C$97</c:f>
              <c:numCache>
                <c:formatCode>#,##0</c:formatCode>
                <c:ptCount val="24"/>
                <c:pt idx="0">
                  <c:v>9.3972156778753495E-10</c:v>
                </c:pt>
                <c:pt idx="1">
                  <c:v>94.947587766116953</c:v>
                </c:pt>
                <c:pt idx="2">
                  <c:v>189.89517553223391</c:v>
                </c:pt>
                <c:pt idx="3">
                  <c:v>283.54218864853294</c:v>
                </c:pt>
                <c:pt idx="4">
                  <c:v>377.18920176483192</c:v>
                </c:pt>
                <c:pt idx="5">
                  <c:v>472.13678953094887</c:v>
                </c:pt>
                <c:pt idx="6">
                  <c:v>565.78380264724785</c:v>
                </c:pt>
                <c:pt idx="7">
                  <c:v>660.73139041336481</c:v>
                </c:pt>
                <c:pt idx="8">
                  <c:v>753.07782887984592</c:v>
                </c:pt>
                <c:pt idx="9">
                  <c:v>849.3259912957808</c:v>
                </c:pt>
                <c:pt idx="10">
                  <c:v>939.07128046262596</c:v>
                </c:pt>
                <c:pt idx="11">
                  <c:v>1035.3194428785609</c:v>
                </c:pt>
                <c:pt idx="12">
                  <c:v>1128.9626971085888</c:v>
                </c:pt>
                <c:pt idx="13">
                  <c:v>1223.9121643178412</c:v>
                </c:pt>
                <c:pt idx="14">
                  <c:v>1317.5648157635469</c:v>
                </c:pt>
                <c:pt idx="15">
                  <c:v>1411.2080699935748</c:v>
                </c:pt>
                <c:pt idx="16">
                  <c:v>1503.5545084600558</c:v>
                </c:pt>
                <c:pt idx="17">
                  <c:v>1547.7778054401372</c:v>
                </c:pt>
                <c:pt idx="18">
                  <c:v>1597.1977626900839</c:v>
                </c:pt>
                <c:pt idx="19">
                  <c:v>1683.0413279074751</c:v>
                </c:pt>
                <c:pt idx="20">
                  <c:v>1736.3705268794176</c:v>
                </c:pt>
                <c:pt idx="21">
                  <c:v>1788.3935128721355</c:v>
                </c:pt>
                <c:pt idx="22">
                  <c:v>1831.3199940886702</c:v>
                </c:pt>
                <c:pt idx="23">
                  <c:v>1892.4488820732493</c:v>
                </c:pt>
              </c:numCache>
            </c:numRef>
          </c:xVal>
          <c:yVal>
            <c:numRef>
              <c:f>'75 Pct Speed Estimate Tweak'!$E$74:$E$97</c:f>
              <c:numCache>
                <c:formatCode>#,##0</c:formatCode>
                <c:ptCount val="24"/>
                <c:pt idx="0">
                  <c:v>73.761889253069242</c:v>
                </c:pt>
                <c:pt idx="1">
                  <c:v>73.847900916340834</c:v>
                </c:pt>
                <c:pt idx="2">
                  <c:v>73.761889253069242</c:v>
                </c:pt>
                <c:pt idx="3">
                  <c:v>73.67578928213517</c:v>
                </c:pt>
                <c:pt idx="4">
                  <c:v>73.50367764792945</c:v>
                </c:pt>
                <c:pt idx="5">
                  <c:v>73.159366071855572</c:v>
                </c:pt>
                <c:pt idx="6">
                  <c:v>72.815054495781695</c:v>
                </c:pt>
                <c:pt idx="7">
                  <c:v>72.470831227370297</c:v>
                </c:pt>
                <c:pt idx="8">
                  <c:v>72.126519651296434</c:v>
                </c:pt>
                <c:pt idx="9">
                  <c:v>71.523996470082778</c:v>
                </c:pt>
                <c:pt idx="10">
                  <c:v>70.663349991391811</c:v>
                </c:pt>
                <c:pt idx="11">
                  <c:v>69.200180331487232</c:v>
                </c:pt>
                <c:pt idx="12">
                  <c:v>67.478799066442818</c:v>
                </c:pt>
                <c:pt idx="13">
                  <c:v>65.413106225324526</c:v>
                </c:pt>
                <c:pt idx="14">
                  <c:v>63.175301750000578</c:v>
                </c:pt>
                <c:pt idx="15">
                  <c:v>60.507085727668645</c:v>
                </c:pt>
                <c:pt idx="16">
                  <c:v>57.064323197579846</c:v>
                </c:pt>
                <c:pt idx="17">
                  <c:v>55.17074199066726</c:v>
                </c:pt>
                <c:pt idx="18">
                  <c:v>53.019037486277405</c:v>
                </c:pt>
                <c:pt idx="19">
                  <c:v>48.715540169835151</c:v>
                </c:pt>
                <c:pt idx="20">
                  <c:v>45.358789303017957</c:v>
                </c:pt>
                <c:pt idx="21">
                  <c:v>41.829926801995072</c:v>
                </c:pt>
                <c:pt idx="22">
                  <c:v>38.73138754031767</c:v>
                </c:pt>
                <c:pt idx="23">
                  <c:v>33.911555321258348</c:v>
                </c:pt>
              </c:numCache>
            </c:numRef>
          </c:yVal>
          <c:smooth val="1"/>
          <c:extLst>
            <c:ext xmlns:c16="http://schemas.microsoft.com/office/drawing/2014/chart" uri="{C3380CC4-5D6E-409C-BE32-E72D297353CC}">
              <c16:uniqueId val="{00000020-907D-49EE-9708-8ABE05D14E10}"/>
            </c:ext>
          </c:extLst>
        </c:ser>
        <c:dLbls>
          <c:showLegendKey val="0"/>
          <c:showVal val="0"/>
          <c:showCatName val="0"/>
          <c:showSerName val="0"/>
          <c:showPercent val="0"/>
          <c:showBubbleSize val="0"/>
        </c:dLbls>
        <c:axId val="1025881160"/>
        <c:axId val="1025882336"/>
      </c:scatterChart>
      <c:valAx>
        <c:axId val="1025881160"/>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a:t>
                </a:r>
                <a:r>
                  <a:rPr lang="en-US" sz="1400" baseline="0"/>
                  <a:t> gpm</a:t>
                </a:r>
                <a:endParaRPr lang="en-US" sz="140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2336"/>
        <c:crosses val="autoZero"/>
        <c:crossBetween val="midCat"/>
        <c:majorUnit val="500"/>
        <c:minorUnit val="100"/>
      </c:valAx>
      <c:valAx>
        <c:axId val="1025882336"/>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1025881160"/>
        <c:crosses val="autoZero"/>
        <c:crossBetween val="midCat"/>
        <c:majorUnit val="10"/>
        <c:min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Comic Sans MS" panose="030F0702030302020204" pitchFamily="66"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3.xml"/></Relationships>
</file>

<file path=xl/chartsheets/sheet1.xml><?xml version="1.0" encoding="utf-8"?>
<chartsheet xmlns="http://schemas.openxmlformats.org/spreadsheetml/2006/main" xmlns:r="http://schemas.openxmlformats.org/officeDocument/2006/relationships">
  <sheetPr>
    <tabColor theme="4"/>
  </sheetPr>
  <sheetViews>
    <sheetView zoomScale="91"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tabColor theme="7"/>
  </sheetPr>
  <sheetViews>
    <sheetView zoomScale="110"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tabColor theme="8"/>
  </sheetPr>
  <sheetViews>
    <sheetView zoomScale="110"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tabColor theme="9"/>
  </sheetPr>
  <sheetViews>
    <sheetView zoomScale="111"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tabColor theme="1"/>
  </sheetPr>
  <sheetViews>
    <sheetView zoomScale="110"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tabColor theme="1"/>
  </sheetPr>
  <sheetViews>
    <sheetView zoomScale="10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theme="4"/>
  </sheetPr>
  <sheetViews>
    <sheetView tabSelected="1" zoomScale="91"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theme="6"/>
  </sheetPr>
  <sheetViews>
    <sheetView zoomScale="110"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theme="6"/>
  </sheetPr>
  <sheetViews>
    <sheetView zoomScale="111"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theme="5"/>
  </sheetPr>
  <sheetViews>
    <sheetView zoomScale="112"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theme="5"/>
  </sheetPr>
  <sheetViews>
    <sheetView zoomScale="112"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theme="5"/>
  </sheetPr>
  <sheetViews>
    <sheetView zoomScale="110"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theme="5"/>
  </sheetPr>
  <sheetViews>
    <sheetView zoomScale="112"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tabColor theme="5"/>
  </sheetPr>
  <sheetViews>
    <sheetView zoomScale="111"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chart" Target="../charts/chart16.xm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136525</xdr:colOff>
      <xdr:row>8</xdr:row>
      <xdr:rowOff>152400</xdr:rowOff>
    </xdr:to>
    <xdr:pic>
      <xdr:nvPicPr>
        <xdr:cNvPr id="2" name="Picture 33" descr="FDE new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60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0</xdr:row>
      <xdr:rowOff>0</xdr:rowOff>
    </xdr:from>
    <xdr:to>
      <xdr:col>26</xdr:col>
      <xdr:colOff>329184</xdr:colOff>
      <xdr:row>21</xdr:row>
      <xdr:rowOff>153924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34725" y="0"/>
          <a:ext cx="7034784" cy="4840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0.09326</cdr:x>
      <cdr:y>0.11378</cdr:y>
    </cdr:from>
    <cdr:to>
      <cdr:x>0.30055</cdr:x>
      <cdr:y>0.16604</cdr:y>
    </cdr:to>
    <cdr:sp macro="" textlink="'Design Impeller from Largest'!$B$16">
      <cdr:nvSpPr>
        <cdr:cNvPr id="23" name="TextBox 1"/>
        <cdr:cNvSpPr txBox="1"/>
      </cdr:nvSpPr>
      <cdr:spPr>
        <a:xfrm xmlns:a="http://schemas.openxmlformats.org/drawingml/2006/main">
          <a:off x="808726" y="716735"/>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313267</xdr:colOff>
          <xdr:row>2</xdr:row>
          <xdr:rowOff>211667</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0A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21167</xdr:rowOff>
        </xdr:from>
        <xdr:to>
          <xdr:col>16</xdr:col>
          <xdr:colOff>1354667</xdr:colOff>
          <xdr:row>5</xdr:row>
          <xdr:rowOff>105833</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0A00-000002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313267</xdr:colOff>
          <xdr:row>10</xdr:row>
          <xdr:rowOff>211667</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0A00-000003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53</xdr:row>
      <xdr:rowOff>0</xdr:rowOff>
    </xdr:from>
    <xdr:to>
      <xdr:col>14</xdr:col>
      <xdr:colOff>759714</xdr:colOff>
      <xdr:row>94</xdr:row>
      <xdr:rowOff>132064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0" y="14497050"/>
          <a:ext cx="18285714" cy="102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63</xdr:row>
          <xdr:rowOff>160867</xdr:rowOff>
        </xdr:from>
        <xdr:to>
          <xdr:col>2</xdr:col>
          <xdr:colOff>1134533</xdr:colOff>
          <xdr:row>71</xdr:row>
          <xdr:rowOff>122767</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0E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1087967</xdr:colOff>
          <xdr:row>15</xdr:row>
          <xdr:rowOff>8467</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0E00-000002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1066800</xdr:colOff>
          <xdr:row>32</xdr:row>
          <xdr:rowOff>67733</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0E00-000003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absoluteAnchor>
    <xdr:pos x="0" y="0"/>
    <xdr:ext cx="8662051" cy="6284872"/>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0.51171</cdr:x>
      <cdr:y>0.45852</cdr:y>
    </cdr:from>
    <cdr:to>
      <cdr:x>0.73278</cdr:x>
      <cdr:y>0.54004</cdr:y>
    </cdr:to>
    <cdr:sp macro="" textlink="'75 Pct Speed Estimate '!$B$22">
      <cdr:nvSpPr>
        <cdr:cNvPr id="24" name="TextBox 1"/>
        <cdr:cNvSpPr txBox="1"/>
      </cdr:nvSpPr>
      <cdr:spPr>
        <a:xfrm xmlns:a="http://schemas.openxmlformats.org/drawingml/2006/main">
          <a:off x="4430172" y="2881697"/>
          <a:ext cx="1913923" cy="512337"/>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66381CD-2001-4BC4-9886-E59C2A27ED50}" type="TxLink">
            <a:rPr lang="en-US" sz="1100" b="0" i="0" u="none" strike="noStrike">
              <a:solidFill>
                <a:srgbClr val="00B0F0"/>
              </a:solidFill>
              <a:latin typeface="Comic Sans MS"/>
            </a:rPr>
            <a:pPr algn="ctr"/>
            <a:t>13.195 inch impeller at 1,105 rpm from the affinity law</a:t>
          </a:fld>
          <a:endParaRPr lang="en-US" sz="1100">
            <a:solidFill>
              <a:srgbClr val="00B0F0"/>
            </a:solidFill>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63</xdr:row>
          <xdr:rowOff>160867</xdr:rowOff>
        </xdr:from>
        <xdr:to>
          <xdr:col>2</xdr:col>
          <xdr:colOff>1134533</xdr:colOff>
          <xdr:row>71</xdr:row>
          <xdr:rowOff>122767</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0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1087967</xdr:colOff>
          <xdr:row>15</xdr:row>
          <xdr:rowOff>8467</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000-000002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1066800</xdr:colOff>
          <xdr:row>32</xdr:row>
          <xdr:rowOff>67733</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000-000003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0.44041</cdr:x>
      <cdr:y>0.49478</cdr:y>
    </cdr:from>
    <cdr:to>
      <cdr:x>0.72045</cdr:x>
      <cdr:y>0.5763</cdr:y>
    </cdr:to>
    <cdr:sp macro="" textlink="'75 Pct Speed Estimate Tweak'!$B$22">
      <cdr:nvSpPr>
        <cdr:cNvPr id="24" name="TextBox 1"/>
        <cdr:cNvSpPr txBox="1"/>
      </cdr:nvSpPr>
      <cdr:spPr>
        <a:xfrm xmlns:a="http://schemas.openxmlformats.org/drawingml/2006/main">
          <a:off x="3813538" y="3110465"/>
          <a:ext cx="2424908" cy="512475"/>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66381CD-2001-4BC4-9886-E59C2A27ED50}" type="TxLink">
            <a:rPr lang="en-US" sz="1100" b="0" i="0" u="none" strike="noStrike">
              <a:solidFill>
                <a:srgbClr val="00B0F0"/>
              </a:solidFill>
              <a:latin typeface="Comic Sans MS"/>
            </a:rPr>
            <a:pPr algn="ctr"/>
            <a:t>13.195 inch impeller at 1,081 rpm from the affinity law, adjusted to go through the operating point</a:t>
          </a:fld>
          <a:endParaRPr lang="en-US" sz="1100">
            <a:solidFill>
              <a:srgbClr val="00B0F0"/>
            </a:solidFill>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313267</xdr:colOff>
          <xdr:row>2</xdr:row>
          <xdr:rowOff>211667</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2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21167</xdr:rowOff>
        </xdr:from>
        <xdr:to>
          <xdr:col>16</xdr:col>
          <xdr:colOff>1354667</xdr:colOff>
          <xdr:row>5</xdr:row>
          <xdr:rowOff>105833</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200-000002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313267</xdr:colOff>
          <xdr:row>10</xdr:row>
          <xdr:rowOff>211667</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00000000-0008-0000-1200-000003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53</xdr:row>
      <xdr:rowOff>0</xdr:rowOff>
    </xdr:from>
    <xdr:to>
      <xdr:col>14</xdr:col>
      <xdr:colOff>759714</xdr:colOff>
      <xdr:row>94</xdr:row>
      <xdr:rowOff>132064</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0" y="14497050"/>
          <a:ext cx="18285714" cy="102857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63</xdr:row>
          <xdr:rowOff>160867</xdr:rowOff>
        </xdr:from>
        <xdr:to>
          <xdr:col>2</xdr:col>
          <xdr:colOff>1134533</xdr:colOff>
          <xdr:row>71</xdr:row>
          <xdr:rowOff>122767</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300-000001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1087967</xdr:colOff>
          <xdr:row>15</xdr:row>
          <xdr:rowOff>8467</xdr:rowOff>
        </xdr:to>
        <xdr:sp macro="" textlink="">
          <xdr:nvSpPr>
            <xdr:cNvPr id="58370" name="Object 2" hidden="1">
              <a:extLst>
                <a:ext uri="{63B3BB69-23CF-44E3-9099-C40C66FF867C}">
                  <a14:compatExt spid="_x0000_s58370"/>
                </a:ext>
                <a:ext uri="{FF2B5EF4-FFF2-40B4-BE49-F238E27FC236}">
                  <a16:creationId xmlns:a16="http://schemas.microsoft.com/office/drawing/2014/main" id="{00000000-0008-0000-1300-000002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1066800</xdr:colOff>
          <xdr:row>32</xdr:row>
          <xdr:rowOff>67733</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300-000003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0.437</cdr:x>
      <cdr:y>0.52048</cdr:y>
    </cdr:from>
    <cdr:to>
      <cdr:x>0.717</cdr:x>
      <cdr:y>0.602</cdr:y>
    </cdr:to>
    <cdr:sp macro="" textlink="'50 Pct Speed Estimate Tweak'!$B$22">
      <cdr:nvSpPr>
        <cdr:cNvPr id="24" name="TextBox 1"/>
        <cdr:cNvSpPr txBox="1"/>
      </cdr:nvSpPr>
      <cdr:spPr>
        <a:xfrm xmlns:a="http://schemas.openxmlformats.org/drawingml/2006/main">
          <a:off x="3784023" y="3272023"/>
          <a:ext cx="2424545" cy="512475"/>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83B31B-5CB3-480F-8D76-8C98CFA4AF3D}" type="TxLink">
            <a:rPr lang="en-US" sz="1100" b="0" i="0" u="none" strike="noStrike">
              <a:solidFill>
                <a:srgbClr val="00B0F0"/>
              </a:solidFill>
              <a:latin typeface="Comic Sans MS"/>
            </a:rPr>
            <a:pPr algn="ctr"/>
            <a:t>13.195 inch impeller at 1,063 rpm from the affinity law, adjusted to go through the operating point</a:t>
          </a:fld>
          <a:endParaRPr lang="en-US" sz="1100">
            <a:solidFill>
              <a:srgbClr val="00B0F0"/>
            </a:solidFill>
            <a:latin typeface="Comic Sans MS" panose="030F0702030302020204" pitchFamily="66" charset="0"/>
          </a:endParaRPr>
        </a:p>
      </cdr:txBody>
    </cdr:sp>
  </cdr:relSizeAnchor>
  <cdr:relSizeAnchor xmlns:cdr="http://schemas.openxmlformats.org/drawingml/2006/chartDrawing">
    <cdr:from>
      <cdr:x>0.09034</cdr:x>
      <cdr:y>0.11234</cdr:y>
    </cdr:from>
    <cdr:to>
      <cdr:x>0.29793</cdr:x>
      <cdr:y>0.16475</cdr:y>
    </cdr:to>
    <cdr:sp macro="" textlink="">
      <cdr:nvSpPr>
        <cdr:cNvPr id="25" name="TextBox 1"/>
        <cdr:cNvSpPr txBox="1"/>
      </cdr:nvSpPr>
      <cdr:spPr>
        <a:xfrm xmlns:a="http://schemas.openxmlformats.org/drawingml/2006/main">
          <a:off x="782184" y="705644"/>
          <a:ext cx="1797427"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313267</xdr:colOff>
          <xdr:row>2</xdr:row>
          <xdr:rowOff>211667</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1500-000001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21167</xdr:rowOff>
        </xdr:from>
        <xdr:to>
          <xdr:col>16</xdr:col>
          <xdr:colOff>1354667</xdr:colOff>
          <xdr:row>5</xdr:row>
          <xdr:rowOff>105833</xdr:rowOff>
        </xdr:to>
        <xdr:sp macro="" textlink="">
          <xdr:nvSpPr>
            <xdr:cNvPr id="63490" name="Object 2" hidden="1">
              <a:extLst>
                <a:ext uri="{63B3BB69-23CF-44E3-9099-C40C66FF867C}">
                  <a14:compatExt spid="_x0000_s63490"/>
                </a:ext>
                <a:ext uri="{FF2B5EF4-FFF2-40B4-BE49-F238E27FC236}">
                  <a16:creationId xmlns:a16="http://schemas.microsoft.com/office/drawing/2014/main" id="{00000000-0008-0000-1500-000002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313267</xdr:colOff>
          <xdr:row>10</xdr:row>
          <xdr:rowOff>211667</xdr:rowOff>
        </xdr:to>
        <xdr:sp macro="" textlink="">
          <xdr:nvSpPr>
            <xdr:cNvPr id="63491" name="Object 3" hidden="1">
              <a:extLst>
                <a:ext uri="{63B3BB69-23CF-44E3-9099-C40C66FF867C}">
                  <a14:compatExt spid="_x0000_s63491"/>
                </a:ext>
                <a:ext uri="{FF2B5EF4-FFF2-40B4-BE49-F238E27FC236}">
                  <a16:creationId xmlns:a16="http://schemas.microsoft.com/office/drawing/2014/main" id="{00000000-0008-0000-1500-000003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53</xdr:row>
      <xdr:rowOff>0</xdr:rowOff>
    </xdr:from>
    <xdr:to>
      <xdr:col>14</xdr:col>
      <xdr:colOff>759714</xdr:colOff>
      <xdr:row>94</xdr:row>
      <xdr:rowOff>132064</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0" y="14497050"/>
          <a:ext cx="18285714" cy="1028571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0.08115</cdr:x>
      <cdr:y>0.451</cdr:y>
    </cdr:from>
    <cdr:to>
      <cdr:x>0.1591</cdr:x>
      <cdr:y>0.50326</cdr:y>
    </cdr:to>
    <cdr:sp macro="" textlink="">
      <cdr:nvSpPr>
        <cdr:cNvPr id="2" name="TextBox 1"/>
        <cdr:cNvSpPr txBox="1"/>
      </cdr:nvSpPr>
      <cdr:spPr>
        <a:xfrm xmlns:a="http://schemas.openxmlformats.org/drawingml/2006/main">
          <a:off x="703717" y="2840868"/>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0.08115</cdr:x>
      <cdr:y>0.04523</cdr:y>
    </cdr:from>
    <cdr:to>
      <cdr:x>0.15909</cdr:x>
      <cdr:y>0.09749</cdr:y>
    </cdr:to>
    <cdr:sp macro="" textlink="">
      <cdr:nvSpPr>
        <cdr:cNvPr id="4" name="TextBox 1"/>
        <cdr:cNvSpPr txBox="1"/>
      </cdr:nvSpPr>
      <cdr:spPr>
        <a:xfrm xmlns:a="http://schemas.openxmlformats.org/drawingml/2006/main">
          <a:off x="703717" y="284891"/>
          <a:ext cx="675845" cy="32918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0.08115</cdr:x>
      <cdr:y>0.40122</cdr:y>
    </cdr:from>
    <cdr:to>
      <cdr:x>0.1591</cdr:x>
      <cdr:y>0.45348</cdr:y>
    </cdr:to>
    <cdr:sp macro="" textlink="">
      <cdr:nvSpPr>
        <cdr:cNvPr id="23" name="TextBox 1"/>
        <cdr:cNvSpPr txBox="1"/>
      </cdr:nvSpPr>
      <cdr:spPr>
        <a:xfrm xmlns:a="http://schemas.openxmlformats.org/drawingml/2006/main">
          <a:off x="703717" y="2527300"/>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dr:relSizeAnchor xmlns:cdr="http://schemas.openxmlformats.org/drawingml/2006/chartDrawing">
    <cdr:from>
      <cdr:x>0.08115</cdr:x>
      <cdr:y>0.34761</cdr:y>
    </cdr:from>
    <cdr:to>
      <cdr:x>0.1591</cdr:x>
      <cdr:y>0.39987</cdr:y>
    </cdr:to>
    <cdr:sp macro="" textlink="">
      <cdr:nvSpPr>
        <cdr:cNvPr id="24" name="TextBox 1"/>
        <cdr:cNvSpPr txBox="1"/>
      </cdr:nvSpPr>
      <cdr:spPr>
        <a:xfrm xmlns:a="http://schemas.openxmlformats.org/drawingml/2006/main">
          <a:off x="703717" y="2189595"/>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a:t>
          </a:r>
        </a:p>
      </cdr:txBody>
    </cdr:sp>
  </cdr:relSizeAnchor>
  <cdr:relSizeAnchor xmlns:cdr="http://schemas.openxmlformats.org/drawingml/2006/chartDrawing">
    <cdr:from>
      <cdr:x>0.08115</cdr:x>
      <cdr:y>0.29262</cdr:y>
    </cdr:from>
    <cdr:to>
      <cdr:x>0.1591</cdr:x>
      <cdr:y>0.34488</cdr:y>
    </cdr:to>
    <cdr:sp macro="" textlink="">
      <cdr:nvSpPr>
        <cdr:cNvPr id="25" name="TextBox 1"/>
        <cdr:cNvSpPr txBox="1"/>
      </cdr:nvSpPr>
      <cdr:spPr>
        <a:xfrm xmlns:a="http://schemas.openxmlformats.org/drawingml/2006/main">
          <a:off x="703717" y="1843232"/>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0.08115</cdr:x>
      <cdr:y>0.23213</cdr:y>
    </cdr:from>
    <cdr:to>
      <cdr:x>0.1591</cdr:x>
      <cdr:y>0.28439</cdr:y>
    </cdr:to>
    <cdr:sp macro="" textlink="">
      <cdr:nvSpPr>
        <cdr:cNvPr id="26" name="TextBox 1"/>
        <cdr:cNvSpPr txBox="1"/>
      </cdr:nvSpPr>
      <cdr:spPr>
        <a:xfrm xmlns:a="http://schemas.openxmlformats.org/drawingml/2006/main">
          <a:off x="703717" y="1462232"/>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a:t>
          </a:r>
        </a:p>
      </cdr:txBody>
    </cdr:sp>
  </cdr:relSizeAnchor>
  <cdr:relSizeAnchor xmlns:cdr="http://schemas.openxmlformats.org/drawingml/2006/chartDrawing">
    <cdr:from>
      <cdr:x>0.08115</cdr:x>
      <cdr:y>0.1744</cdr:y>
    </cdr:from>
    <cdr:to>
      <cdr:x>0.1591</cdr:x>
      <cdr:y>0.22666</cdr:y>
    </cdr:to>
    <cdr:sp macro="" textlink="">
      <cdr:nvSpPr>
        <cdr:cNvPr id="27" name="TextBox 1"/>
        <cdr:cNvSpPr txBox="1"/>
      </cdr:nvSpPr>
      <cdr:spPr>
        <a:xfrm xmlns:a="http://schemas.openxmlformats.org/drawingml/2006/main">
          <a:off x="703717" y="1098550"/>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0.08115</cdr:x>
      <cdr:y>0.11116</cdr:y>
    </cdr:from>
    <cdr:to>
      <cdr:x>0.1591</cdr:x>
      <cdr:y>0.16342</cdr:y>
    </cdr:to>
    <cdr:sp macro="" textlink="">
      <cdr:nvSpPr>
        <cdr:cNvPr id="28" name="TextBox 1"/>
        <cdr:cNvSpPr txBox="1"/>
      </cdr:nvSpPr>
      <cdr:spPr>
        <a:xfrm xmlns:a="http://schemas.openxmlformats.org/drawingml/2006/main">
          <a:off x="703717" y="700232"/>
          <a:ext cx="675931" cy="329190"/>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a:t>
          </a:r>
        </a:p>
      </cdr:txBody>
    </cdr:sp>
  </cdr:relSizeAnchor>
</c:userShapes>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63</xdr:row>
          <xdr:rowOff>160867</xdr:rowOff>
        </xdr:from>
        <xdr:to>
          <xdr:col>2</xdr:col>
          <xdr:colOff>1134533</xdr:colOff>
          <xdr:row>71</xdr:row>
          <xdr:rowOff>122767</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1600-000001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1087967</xdr:colOff>
          <xdr:row>15</xdr:row>
          <xdr:rowOff>8467</xdr:rowOff>
        </xdr:to>
        <xdr:sp macro="" textlink="">
          <xdr:nvSpPr>
            <xdr:cNvPr id="64514" name="Object 2" hidden="1">
              <a:extLst>
                <a:ext uri="{63B3BB69-23CF-44E3-9099-C40C66FF867C}">
                  <a14:compatExt spid="_x0000_s64514"/>
                </a:ext>
                <a:ext uri="{FF2B5EF4-FFF2-40B4-BE49-F238E27FC236}">
                  <a16:creationId xmlns:a16="http://schemas.microsoft.com/office/drawing/2014/main" id="{00000000-0008-0000-1600-000002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1066800</xdr:colOff>
          <xdr:row>32</xdr:row>
          <xdr:rowOff>67733</xdr:rowOff>
        </xdr:to>
        <xdr:sp macro="" textlink="">
          <xdr:nvSpPr>
            <xdr:cNvPr id="64515" name="Object 3" hidden="1">
              <a:extLst>
                <a:ext uri="{63B3BB69-23CF-44E3-9099-C40C66FF867C}">
                  <a14:compatExt spid="_x0000_s64515"/>
                </a:ext>
                <a:ext uri="{FF2B5EF4-FFF2-40B4-BE49-F238E27FC236}">
                  <a16:creationId xmlns:a16="http://schemas.microsoft.com/office/drawing/2014/main" id="{00000000-0008-0000-1600-000003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0.20785</cdr:x>
      <cdr:y>0.27668</cdr:y>
    </cdr:from>
    <cdr:to>
      <cdr:x>0.466</cdr:x>
      <cdr:y>0.3582</cdr:y>
    </cdr:to>
    <cdr:sp macro="" textlink="'25 Pct Speed Estimate Tweak'!$B$22">
      <cdr:nvSpPr>
        <cdr:cNvPr id="24" name="TextBox 1"/>
        <cdr:cNvSpPr txBox="1"/>
      </cdr:nvSpPr>
      <cdr:spPr>
        <a:xfrm xmlns:a="http://schemas.openxmlformats.org/drawingml/2006/main">
          <a:off x="1799793" y="1739364"/>
          <a:ext cx="2235344" cy="512475"/>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83B31B-5CB3-480F-8D76-8C98CFA4AF3D}" type="TxLink">
            <a:rPr lang="en-US" sz="1100" b="0" i="0" u="none" strike="noStrike">
              <a:solidFill>
                <a:srgbClr val="00B0F0"/>
              </a:solidFill>
              <a:latin typeface="Comic Sans MS"/>
            </a:rPr>
            <a:pPr algn="ctr"/>
            <a:t>13.195 inch impeller at 1,055 rpm from the affinity law, adjusted to go through the operating point</a:t>
          </a:fld>
          <a:endParaRPr lang="en-US" sz="1100">
            <a:solidFill>
              <a:srgbClr val="00B0F0"/>
            </a:solidFill>
            <a:latin typeface="Comic Sans MS" panose="030F0702030302020204" pitchFamily="66" charset="0"/>
          </a:endParaRPr>
        </a:p>
      </cdr:txBody>
    </cdr:sp>
  </cdr:relSizeAnchor>
  <cdr:relSizeAnchor xmlns:cdr="http://schemas.openxmlformats.org/drawingml/2006/chartDrawing">
    <cdr:from>
      <cdr:x>0.28484</cdr:x>
      <cdr:y>0.17053</cdr:y>
    </cdr:from>
    <cdr:to>
      <cdr:x>0.49243</cdr:x>
      <cdr:y>0.22294</cdr:y>
    </cdr:to>
    <cdr:sp macro="" textlink="">
      <cdr:nvSpPr>
        <cdr:cNvPr id="25" name="TextBox 1"/>
        <cdr:cNvSpPr txBox="1"/>
      </cdr:nvSpPr>
      <cdr:spPr>
        <a:xfrm xmlns:a="http://schemas.openxmlformats.org/drawingml/2006/main">
          <a:off x="2466006" y="1071726"/>
          <a:ext cx="1797219" cy="329387"/>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313267</xdr:colOff>
          <xdr:row>2</xdr:row>
          <xdr:rowOff>211667</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18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21167</xdr:rowOff>
        </xdr:from>
        <xdr:to>
          <xdr:col>16</xdr:col>
          <xdr:colOff>1354667</xdr:colOff>
          <xdr:row>5</xdr:row>
          <xdr:rowOff>105833</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1800-000002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313267</xdr:colOff>
          <xdr:row>10</xdr:row>
          <xdr:rowOff>211667</xdr:rowOff>
        </xdr:to>
        <xdr:sp macro="" textlink="">
          <xdr:nvSpPr>
            <xdr:cNvPr id="66563" name="Object 3" hidden="1">
              <a:extLst>
                <a:ext uri="{63B3BB69-23CF-44E3-9099-C40C66FF867C}">
                  <a14:compatExt spid="_x0000_s66563"/>
                </a:ext>
                <a:ext uri="{FF2B5EF4-FFF2-40B4-BE49-F238E27FC236}">
                  <a16:creationId xmlns:a16="http://schemas.microsoft.com/office/drawing/2014/main" id="{00000000-0008-0000-1800-000003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53</xdr:row>
      <xdr:rowOff>0</xdr:rowOff>
    </xdr:from>
    <xdr:to>
      <xdr:col>14</xdr:col>
      <xdr:colOff>759714</xdr:colOff>
      <xdr:row>94</xdr:row>
      <xdr:rowOff>132064</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0" y="14497050"/>
          <a:ext cx="18285714" cy="10285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63</xdr:row>
          <xdr:rowOff>160867</xdr:rowOff>
        </xdr:from>
        <xdr:to>
          <xdr:col>2</xdr:col>
          <xdr:colOff>1134533</xdr:colOff>
          <xdr:row>71</xdr:row>
          <xdr:rowOff>122767</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1900-0000010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1087967</xdr:colOff>
          <xdr:row>15</xdr:row>
          <xdr:rowOff>8467</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1900-0000020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3</xdr:col>
          <xdr:colOff>1066800</xdr:colOff>
          <xdr:row>32</xdr:row>
          <xdr:rowOff>67733</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00000000-0008-0000-1900-0000030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0.08636</cdr:x>
      <cdr:y>0.05031</cdr:y>
    </cdr:from>
    <cdr:to>
      <cdr:x>0.1643</cdr:x>
      <cdr:y>0.10257</cdr:y>
    </cdr:to>
    <cdr:sp macro="" textlink="">
      <cdr:nvSpPr>
        <cdr:cNvPr id="4" name="TextBox 1"/>
        <cdr:cNvSpPr txBox="1"/>
      </cdr:nvSpPr>
      <cdr:spPr>
        <a:xfrm xmlns:a="http://schemas.openxmlformats.org/drawingml/2006/main">
          <a:off x="749337" y="317006"/>
          <a:ext cx="676313" cy="3292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0.17085</cdr:x>
      <cdr:y>0.26566</cdr:y>
    </cdr:from>
    <cdr:to>
      <cdr:x>0.446</cdr:x>
      <cdr:y>0.34718</cdr:y>
    </cdr:to>
    <cdr:sp macro="" textlink="'12.5 Pct Speed Estimate Tweak'!$B$22">
      <cdr:nvSpPr>
        <cdr:cNvPr id="24" name="TextBox 1"/>
        <cdr:cNvSpPr txBox="1"/>
      </cdr:nvSpPr>
      <cdr:spPr>
        <a:xfrm xmlns:a="http://schemas.openxmlformats.org/drawingml/2006/main">
          <a:off x="1479406" y="1670092"/>
          <a:ext cx="2382549" cy="512475"/>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squar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83B31B-5CB3-480F-8D76-8C98CFA4AF3D}" type="TxLink">
            <a:rPr lang="en-US" sz="1100" b="0" i="0" u="none" strike="noStrike">
              <a:solidFill>
                <a:srgbClr val="00B0F0"/>
              </a:solidFill>
              <a:latin typeface="Comic Sans MS"/>
            </a:rPr>
            <a:pPr algn="ctr"/>
            <a:t>13.195 inch impeller at 1,054 rpm from the affinity law, adjusted to go through the operating point</a:t>
          </a:fld>
          <a:endParaRPr lang="en-US" sz="1100">
            <a:solidFill>
              <a:srgbClr val="00B0F0"/>
            </a:solidFill>
            <a:latin typeface="Comic Sans MS" panose="030F0702030302020204" pitchFamily="66" charset="0"/>
          </a:endParaRPr>
        </a:p>
      </cdr:txBody>
    </cdr:sp>
  </cdr:relSizeAnchor>
  <cdr:relSizeAnchor xmlns:cdr="http://schemas.openxmlformats.org/drawingml/2006/chartDrawing">
    <cdr:from>
      <cdr:x>0.28484</cdr:x>
      <cdr:y>0.17053</cdr:y>
    </cdr:from>
    <cdr:to>
      <cdr:x>0.49243</cdr:x>
      <cdr:y>0.22294</cdr:y>
    </cdr:to>
    <cdr:sp macro="" textlink="">
      <cdr:nvSpPr>
        <cdr:cNvPr id="25" name="TextBox 1"/>
        <cdr:cNvSpPr txBox="1"/>
      </cdr:nvSpPr>
      <cdr:spPr>
        <a:xfrm xmlns:a="http://schemas.openxmlformats.org/drawingml/2006/main">
          <a:off x="2466006" y="1071726"/>
          <a:ext cx="1797219" cy="329387"/>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BBAD974-DD22-497C-9DCA-03172108B2C0}" type="TxLink">
            <a:rPr lang="en-US" sz="1100" b="0" i="0" u="none" strike="noStrike">
              <a:solidFill>
                <a:srgbClr val="000000"/>
              </a:solidFill>
              <a:latin typeface="Comic Sans MS"/>
            </a:rPr>
            <a:pPr algn="ctr"/>
            <a:t>13.195 inch at 1,150 rpm</a:t>
          </a:fld>
          <a:endParaRPr lang="en-US" sz="1100">
            <a:latin typeface="Comic Sans MS" panose="030F0702030302020204" pitchFamily="66"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19051</xdr:colOff>
      <xdr:row>15</xdr:row>
      <xdr:rowOff>0</xdr:rowOff>
    </xdr:from>
    <xdr:to>
      <xdr:col>7</xdr:col>
      <xdr:colOff>1</xdr:colOff>
      <xdr:row>37</xdr:row>
      <xdr:rowOff>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15</xdr:row>
      <xdr:rowOff>0</xdr:rowOff>
    </xdr:from>
    <xdr:to>
      <xdr:col>14</xdr:col>
      <xdr:colOff>0</xdr:colOff>
      <xdr:row>37</xdr:row>
      <xdr:rowOff>1</xdr:rowOff>
    </xdr:to>
    <xdr:graphicFrame macro="">
      <xdr:nvGraphicFramePr>
        <xdr:cNvPr id="5" name="Chart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476250</xdr:colOff>
      <xdr:row>0</xdr:row>
      <xdr:rowOff>1676400</xdr:rowOff>
    </xdr:to>
    <xdr:pic>
      <xdr:nvPicPr>
        <xdr:cNvPr id="2" name="Picture 33" descr="FDE new Logo">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433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0</xdr:row>
      <xdr:rowOff>0</xdr:rowOff>
    </xdr:from>
    <xdr:to>
      <xdr:col>28</xdr:col>
      <xdr:colOff>756708</xdr:colOff>
      <xdr:row>25</xdr:row>
      <xdr:rowOff>31750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70250" y="0"/>
          <a:ext cx="10996083" cy="848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2051" cy="6284872"/>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0.548</cdr:x>
      <cdr:y>0.56887</cdr:y>
    </cdr:from>
    <cdr:to>
      <cdr:x>0.967</cdr:x>
      <cdr:y>0.76722</cdr:y>
    </cdr:to>
    <cdr:sp macro="" textlink="">
      <cdr:nvSpPr>
        <cdr:cNvPr id="2" name="TextBox 1"/>
        <cdr:cNvSpPr txBox="1"/>
      </cdr:nvSpPr>
      <cdr:spPr>
        <a:xfrm xmlns:a="http://schemas.openxmlformats.org/drawingml/2006/main">
          <a:off x="4745182" y="3576205"/>
          <a:ext cx="3628159" cy="124692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127000"/>
        </a:effectLst>
      </cdr:spPr>
      <cdr:txBody>
        <a:bodyPr xmlns:a="http://schemas.openxmlformats.org/drawingml/2006/main" vertOverflow="clip" wrap="square" rtlCol="0"/>
        <a:lstStyle xmlns:a="http://schemas.openxmlformats.org/drawingml/2006/main"/>
        <a:p xmlns:a="http://schemas.openxmlformats.org/drawingml/2006/main">
          <a:r>
            <a:rPr lang="en-US" sz="1800">
              <a:latin typeface="Arial" panose="020B0604020202020204" pitchFamily="34" charset="0"/>
              <a:cs typeface="Arial" panose="020B0604020202020204" pitchFamily="34" charset="0"/>
            </a:rPr>
            <a:t>Typical 30 hp Motor</a:t>
          </a:r>
          <a:r>
            <a:rPr lang="en-US" sz="1800" baseline="0">
              <a:latin typeface="Arial" panose="020B0604020202020204" pitchFamily="34" charset="0"/>
              <a:cs typeface="Arial" panose="020B0604020202020204" pitchFamily="34" charset="0"/>
            </a:rPr>
            <a:t> Efficiency</a:t>
          </a:r>
        </a:p>
        <a:p xmlns:a="http://schemas.openxmlformats.org/drawingml/2006/main">
          <a:endParaRPr lang="en-US" sz="800" baseline="0">
            <a:latin typeface="Comic Sans MS" panose="030F0702030302020204" pitchFamily="66" charset="0"/>
            <a:cs typeface="Arial" panose="020B0604020202020204" pitchFamily="34" charset="0"/>
          </a:endParaRPr>
        </a:p>
        <a:p xmlns:a="http://schemas.openxmlformats.org/drawingml/2006/main">
          <a:r>
            <a:rPr lang="en-US" sz="1200" baseline="0">
              <a:latin typeface="Comic Sans MS" panose="030F0702030302020204" pitchFamily="66" charset="0"/>
              <a:cs typeface="Arial" panose="020B0604020202020204" pitchFamily="34" charset="0"/>
            </a:rPr>
            <a:t>Basis - Proportional Projection from the 25 hp US Motors Curve and NEMA Premium Efficiency 40 hp Motor Nameplate Efficiency</a:t>
          </a:r>
        </a:p>
        <a:p xmlns:a="http://schemas.openxmlformats.org/drawingml/2006/main">
          <a:endParaRPr lang="en-US" sz="1200">
            <a:latin typeface="Comic Sans MS" panose="030F0702030302020204" pitchFamily="66"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3952875" cy="1676400"/>
    <xdr:pic>
      <xdr:nvPicPr>
        <xdr:cNvPr id="2" name="Picture 33" descr="FDE new 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2875" cy="1676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49</xdr:row>
      <xdr:rowOff>0</xdr:rowOff>
    </xdr:from>
    <xdr:to>
      <xdr:col>12</xdr:col>
      <xdr:colOff>0</xdr:colOff>
      <xdr:row>70</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0</xdr:colOff>
      <xdr:row>0</xdr:row>
      <xdr:rowOff>0</xdr:rowOff>
    </xdr:from>
    <xdr:ext cx="9048750" cy="6750843"/>
    <xdr:pic>
      <xdr:nvPicPr>
        <xdr:cNvPr id="4" name="Picture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670250" y="0"/>
          <a:ext cx="9048750" cy="67508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0.548</cdr:x>
      <cdr:y>0.56887</cdr:y>
    </cdr:from>
    <cdr:to>
      <cdr:x>0.986</cdr:x>
      <cdr:y>0.76722</cdr:y>
    </cdr:to>
    <cdr:sp macro="" textlink="">
      <cdr:nvSpPr>
        <cdr:cNvPr id="2" name="TextBox 1"/>
        <cdr:cNvSpPr txBox="1"/>
      </cdr:nvSpPr>
      <cdr:spPr>
        <a:xfrm xmlns:a="http://schemas.openxmlformats.org/drawingml/2006/main">
          <a:off x="4745182" y="3576201"/>
          <a:ext cx="3792682" cy="1246928"/>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127000"/>
        </a:effectLst>
      </cdr:spPr>
      <cdr:txBody>
        <a:bodyPr xmlns:a="http://schemas.openxmlformats.org/drawingml/2006/main" vertOverflow="clip" wrap="square" rtlCol="0"/>
        <a:lstStyle xmlns:a="http://schemas.openxmlformats.org/drawingml/2006/main"/>
        <a:p xmlns:a="http://schemas.openxmlformats.org/drawingml/2006/main">
          <a:r>
            <a:rPr lang="en-US" sz="1800">
              <a:latin typeface="Arial" panose="020B0604020202020204" pitchFamily="34" charset="0"/>
              <a:cs typeface="Arial" panose="020B0604020202020204" pitchFamily="34" charset="0"/>
            </a:rPr>
            <a:t>Typical 30 hp VFD</a:t>
          </a:r>
          <a:r>
            <a:rPr lang="en-US" sz="1800" baseline="0">
              <a:latin typeface="Arial" panose="020B0604020202020204" pitchFamily="34" charset="0"/>
              <a:cs typeface="Arial" panose="020B0604020202020204" pitchFamily="34" charset="0"/>
            </a:rPr>
            <a:t> Efficiency</a:t>
          </a:r>
        </a:p>
        <a:p xmlns:a="http://schemas.openxmlformats.org/drawingml/2006/main">
          <a:endParaRPr lang="en-US" sz="800" baseline="0">
            <a:latin typeface="Comic Sans MS" panose="030F0702030302020204" pitchFamily="66" charset="0"/>
            <a:cs typeface="Arial" panose="020B0604020202020204" pitchFamily="34" charset="0"/>
          </a:endParaRPr>
        </a:p>
        <a:p xmlns:a="http://schemas.openxmlformats.org/drawingml/2006/main">
          <a:r>
            <a:rPr lang="en-US" sz="1200" baseline="0">
              <a:latin typeface="Comic Sans MS" panose="030F0702030302020204" pitchFamily="66" charset="0"/>
              <a:cs typeface="Arial" panose="020B0604020202020204" pitchFamily="34" charset="0"/>
            </a:rPr>
            <a:t>Basis - Proportional Projection from the 20 hp Safetronics data and the full load efficiency for a 30 hp VFD from the Safetronics Data</a:t>
          </a:r>
        </a:p>
        <a:p xmlns:a="http://schemas.openxmlformats.org/drawingml/2006/main">
          <a:endParaRPr lang="en-US" sz="1200">
            <a:latin typeface="Comic Sans MS" panose="030F0702030302020204" pitchFamily="66"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0.08416</cdr:x>
      <cdr:y>0.05485</cdr:y>
    </cdr:from>
    <cdr:to>
      <cdr:x>0.1621</cdr:x>
      <cdr:y>0.10711</cdr:y>
    </cdr:to>
    <cdr:sp macro="" textlink="">
      <cdr:nvSpPr>
        <cdr:cNvPr id="4" name="TextBox 1"/>
        <cdr:cNvSpPr txBox="1"/>
      </cdr:nvSpPr>
      <cdr:spPr>
        <a:xfrm xmlns:a="http://schemas.openxmlformats.org/drawingml/2006/main">
          <a:off x="730282" y="345599"/>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313267</xdr:colOff>
          <xdr:row>2</xdr:row>
          <xdr:rowOff>211667</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21167</xdr:rowOff>
        </xdr:from>
        <xdr:to>
          <xdr:col>16</xdr:col>
          <xdr:colOff>1354667</xdr:colOff>
          <xdr:row>5</xdr:row>
          <xdr:rowOff>105833</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313267</xdr:colOff>
          <xdr:row>10</xdr:row>
          <xdr:rowOff>211667</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56</xdr:row>
      <xdr:rowOff>0</xdr:rowOff>
    </xdr:from>
    <xdr:to>
      <xdr:col>14</xdr:col>
      <xdr:colOff>759714</xdr:colOff>
      <xdr:row>97</xdr:row>
      <xdr:rowOff>132064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15106650"/>
          <a:ext cx="18285714" cy="10285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0.08416</cdr:x>
      <cdr:y>0.05485</cdr:y>
    </cdr:from>
    <cdr:to>
      <cdr:x>0.1621</cdr:x>
      <cdr:y>0.10711</cdr:y>
    </cdr:to>
    <cdr:sp macro="" textlink="">
      <cdr:nvSpPr>
        <cdr:cNvPr id="4" name="TextBox 1"/>
        <cdr:cNvSpPr txBox="1"/>
      </cdr:nvSpPr>
      <cdr:spPr>
        <a:xfrm xmlns:a="http://schemas.openxmlformats.org/drawingml/2006/main">
          <a:off x="730282" y="345599"/>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3</xdr:col>
          <xdr:colOff>21167</xdr:colOff>
          <xdr:row>26</xdr:row>
          <xdr:rowOff>46567</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160867</xdr:rowOff>
        </xdr:from>
        <xdr:to>
          <xdr:col>2</xdr:col>
          <xdr:colOff>1134533</xdr:colOff>
          <xdr:row>65</xdr:row>
          <xdr:rowOff>122767</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21167</xdr:colOff>
          <xdr:row>10</xdr:row>
          <xdr:rowOff>46567</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8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chnical%20Library/Weather/Bill%20Korans%20Weather%20Query%20Spreadshee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finity%20Laws%20Speed%20-%20Case%201%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hrQuery"/>
      <sheetName val="WthrData"/>
      <sheetName val="Calcs"/>
      <sheetName val="OtherTimeSeries"/>
      <sheetName val="Proposed_Project_Inputs"/>
      <sheetName val="APwthrSites"/>
      <sheetName val="ListStates"/>
      <sheetName val="Lists"/>
    </sheetNames>
    <sheetDataSet>
      <sheetData sheetId="0">
        <row r="2">
          <cell r="A2" t="str">
            <v>Washington</v>
          </cell>
        </row>
      </sheetData>
      <sheetData sheetId="1"/>
      <sheetData sheetId="2"/>
      <sheetData sheetId="3">
        <row r="13">
          <cell r="A13">
            <v>41179</v>
          </cell>
          <cell r="D13">
            <v>0</v>
          </cell>
        </row>
      </sheetData>
      <sheetData sheetId="4"/>
      <sheetData sheetId="5">
        <row r="1">
          <cell r="B1" t="str">
            <v>Airport</v>
          </cell>
        </row>
        <row r="2">
          <cell r="A2" t="str">
            <v>Alabama</v>
          </cell>
        </row>
        <row r="3">
          <cell r="A3" t="str">
            <v>Alabama</v>
          </cell>
        </row>
        <row r="4">
          <cell r="A4" t="str">
            <v>Alabama</v>
          </cell>
        </row>
        <row r="5">
          <cell r="A5" t="str">
            <v>Alabama</v>
          </cell>
        </row>
        <row r="6">
          <cell r="A6" t="str">
            <v>Alabama</v>
          </cell>
        </row>
        <row r="7">
          <cell r="A7" t="str">
            <v>Alabama</v>
          </cell>
        </row>
        <row r="8">
          <cell r="A8" t="str">
            <v>Alabama</v>
          </cell>
        </row>
        <row r="9">
          <cell r="A9" t="str">
            <v>Alabama</v>
          </cell>
        </row>
        <row r="10">
          <cell r="A10" t="str">
            <v>Alabama</v>
          </cell>
        </row>
        <row r="11">
          <cell r="A11" t="str">
            <v>Alabama</v>
          </cell>
        </row>
        <row r="12">
          <cell r="A12" t="str">
            <v>Alabama</v>
          </cell>
        </row>
        <row r="13">
          <cell r="A13" t="str">
            <v>Alabama</v>
          </cell>
        </row>
        <row r="14">
          <cell r="A14" t="str">
            <v>Alabama</v>
          </cell>
        </row>
        <row r="15">
          <cell r="A15" t="str">
            <v>Alabama</v>
          </cell>
        </row>
        <row r="16">
          <cell r="A16" t="str">
            <v>Alabama</v>
          </cell>
        </row>
        <row r="17">
          <cell r="A17" t="str">
            <v>Alabama</v>
          </cell>
        </row>
        <row r="18">
          <cell r="A18" t="str">
            <v>Alabama</v>
          </cell>
        </row>
        <row r="19">
          <cell r="A19" t="str">
            <v>Alabama</v>
          </cell>
        </row>
        <row r="20">
          <cell r="A20" t="str">
            <v>Alabama</v>
          </cell>
        </row>
        <row r="21">
          <cell r="A21" t="str">
            <v>Alabama</v>
          </cell>
        </row>
        <row r="22">
          <cell r="A22" t="str">
            <v>Alabama</v>
          </cell>
        </row>
        <row r="23">
          <cell r="A23" t="str">
            <v>Alabama</v>
          </cell>
        </row>
        <row r="24">
          <cell r="A24" t="str">
            <v>Alabama</v>
          </cell>
        </row>
        <row r="25">
          <cell r="A25" t="str">
            <v>Alabama</v>
          </cell>
        </row>
        <row r="26">
          <cell r="A26" t="str">
            <v>Alabama</v>
          </cell>
        </row>
        <row r="27">
          <cell r="A27" t="str">
            <v>Alabama</v>
          </cell>
        </row>
        <row r="28">
          <cell r="A28" t="str">
            <v>Alabama</v>
          </cell>
        </row>
        <row r="29">
          <cell r="A29" t="str">
            <v>Alabama</v>
          </cell>
        </row>
        <row r="30">
          <cell r="A30" t="str">
            <v>Alabama</v>
          </cell>
        </row>
        <row r="31">
          <cell r="A31" t="str">
            <v>Alabama</v>
          </cell>
        </row>
        <row r="32">
          <cell r="A32" t="str">
            <v>Alabama</v>
          </cell>
        </row>
        <row r="33">
          <cell r="A33" t="str">
            <v>Alabama</v>
          </cell>
        </row>
        <row r="34">
          <cell r="A34" t="str">
            <v>Alabama</v>
          </cell>
        </row>
        <row r="35">
          <cell r="A35" t="str">
            <v>Alabama</v>
          </cell>
        </row>
        <row r="36">
          <cell r="A36" t="str">
            <v>Alaska</v>
          </cell>
        </row>
        <row r="37">
          <cell r="A37" t="str">
            <v>Alaska</v>
          </cell>
        </row>
        <row r="38">
          <cell r="A38" t="str">
            <v>Alaska</v>
          </cell>
        </row>
        <row r="39">
          <cell r="A39" t="str">
            <v>Alaska</v>
          </cell>
        </row>
        <row r="40">
          <cell r="A40" t="str">
            <v>Alaska</v>
          </cell>
        </row>
        <row r="41">
          <cell r="A41" t="str">
            <v>Alaska</v>
          </cell>
        </row>
        <row r="42">
          <cell r="A42" t="str">
            <v>Alaska</v>
          </cell>
        </row>
        <row r="43">
          <cell r="A43" t="str">
            <v>Alaska</v>
          </cell>
        </row>
        <row r="44">
          <cell r="A44" t="str">
            <v>Alaska</v>
          </cell>
        </row>
        <row r="45">
          <cell r="A45" t="str">
            <v>Alaska</v>
          </cell>
        </row>
        <row r="46">
          <cell r="A46" t="str">
            <v>Alaska</v>
          </cell>
        </row>
        <row r="47">
          <cell r="A47" t="str">
            <v>Alaska</v>
          </cell>
        </row>
        <row r="48">
          <cell r="A48" t="str">
            <v>Alaska</v>
          </cell>
        </row>
        <row r="49">
          <cell r="A49" t="str">
            <v>Alaska</v>
          </cell>
        </row>
        <row r="50">
          <cell r="A50" t="str">
            <v>Alaska</v>
          </cell>
        </row>
        <row r="51">
          <cell r="A51" t="str">
            <v>Alaska</v>
          </cell>
        </row>
        <row r="52">
          <cell r="A52" t="str">
            <v>Alaska</v>
          </cell>
        </row>
        <row r="53">
          <cell r="A53" t="str">
            <v>Alaska</v>
          </cell>
        </row>
        <row r="54">
          <cell r="A54" t="str">
            <v>Alaska</v>
          </cell>
        </row>
        <row r="55">
          <cell r="A55" t="str">
            <v>Alaska</v>
          </cell>
        </row>
        <row r="56">
          <cell r="A56" t="str">
            <v>Alaska</v>
          </cell>
        </row>
        <row r="57">
          <cell r="A57" t="str">
            <v>Alaska</v>
          </cell>
        </row>
        <row r="58">
          <cell r="A58" t="str">
            <v>Alaska</v>
          </cell>
        </row>
        <row r="59">
          <cell r="A59" t="str">
            <v>Alaska</v>
          </cell>
        </row>
        <row r="60">
          <cell r="A60" t="str">
            <v>Alaska</v>
          </cell>
        </row>
        <row r="61">
          <cell r="A61" t="str">
            <v>Alaska</v>
          </cell>
        </row>
        <row r="62">
          <cell r="A62" t="str">
            <v>Alaska</v>
          </cell>
        </row>
        <row r="63">
          <cell r="A63" t="str">
            <v>Alaska</v>
          </cell>
        </row>
        <row r="64">
          <cell r="A64" t="str">
            <v>Alaska</v>
          </cell>
        </row>
        <row r="65">
          <cell r="A65" t="str">
            <v>Alaska</v>
          </cell>
        </row>
        <row r="66">
          <cell r="A66" t="str">
            <v>Alaska</v>
          </cell>
        </row>
        <row r="67">
          <cell r="A67" t="str">
            <v>Alaska</v>
          </cell>
        </row>
        <row r="68">
          <cell r="A68" t="str">
            <v>Alaska</v>
          </cell>
        </row>
        <row r="69">
          <cell r="A69" t="str">
            <v>Alaska</v>
          </cell>
        </row>
        <row r="70">
          <cell r="A70" t="str">
            <v>Alaska</v>
          </cell>
        </row>
        <row r="71">
          <cell r="A71" t="str">
            <v>Alaska</v>
          </cell>
        </row>
        <row r="72">
          <cell r="A72" t="str">
            <v>Alaska</v>
          </cell>
        </row>
        <row r="73">
          <cell r="A73" t="str">
            <v>Alaska</v>
          </cell>
        </row>
        <row r="74">
          <cell r="A74" t="str">
            <v>Alaska</v>
          </cell>
        </row>
        <row r="75">
          <cell r="A75" t="str">
            <v>Alaska</v>
          </cell>
        </row>
        <row r="76">
          <cell r="A76" t="str">
            <v>Alaska</v>
          </cell>
        </row>
        <row r="77">
          <cell r="A77" t="str">
            <v>Alaska</v>
          </cell>
        </row>
        <row r="78">
          <cell r="A78" t="str">
            <v>Alaska</v>
          </cell>
        </row>
        <row r="79">
          <cell r="A79" t="str">
            <v>Alaska</v>
          </cell>
        </row>
        <row r="80">
          <cell r="A80" t="str">
            <v>Alaska</v>
          </cell>
        </row>
        <row r="81">
          <cell r="A81" t="str">
            <v>Alaska</v>
          </cell>
        </row>
        <row r="82">
          <cell r="A82" t="str">
            <v>Alaska</v>
          </cell>
        </row>
        <row r="83">
          <cell r="A83" t="str">
            <v>Alaska</v>
          </cell>
        </row>
        <row r="84">
          <cell r="A84" t="str">
            <v>Alaska</v>
          </cell>
        </row>
        <row r="85">
          <cell r="A85" t="str">
            <v>Alaska</v>
          </cell>
        </row>
        <row r="86">
          <cell r="A86" t="str">
            <v>Alaska</v>
          </cell>
        </row>
        <row r="87">
          <cell r="A87" t="str">
            <v>Alaska</v>
          </cell>
        </row>
        <row r="88">
          <cell r="A88" t="str">
            <v>Alaska</v>
          </cell>
        </row>
        <row r="89">
          <cell r="A89" t="str">
            <v>Alaska</v>
          </cell>
        </row>
        <row r="90">
          <cell r="A90" t="str">
            <v>Alaska</v>
          </cell>
        </row>
        <row r="91">
          <cell r="A91" t="str">
            <v>Alaska</v>
          </cell>
        </row>
        <row r="92">
          <cell r="A92" t="str">
            <v>Alaska</v>
          </cell>
        </row>
        <row r="93">
          <cell r="A93" t="str">
            <v>Alaska</v>
          </cell>
        </row>
        <row r="94">
          <cell r="A94" t="str">
            <v>Alaska</v>
          </cell>
        </row>
        <row r="95">
          <cell r="A95" t="str">
            <v>Alaska</v>
          </cell>
        </row>
        <row r="96">
          <cell r="A96" t="str">
            <v>Alaska</v>
          </cell>
        </row>
        <row r="97">
          <cell r="A97" t="str">
            <v>Alaska</v>
          </cell>
        </row>
        <row r="98">
          <cell r="A98" t="str">
            <v>Alaska</v>
          </cell>
        </row>
        <row r="99">
          <cell r="A99" t="str">
            <v>Alaska</v>
          </cell>
        </row>
        <row r="100">
          <cell r="A100" t="str">
            <v>Alaska</v>
          </cell>
        </row>
        <row r="101">
          <cell r="A101" t="str">
            <v>Alaska</v>
          </cell>
        </row>
        <row r="102">
          <cell r="A102" t="str">
            <v>Alaska</v>
          </cell>
        </row>
        <row r="103">
          <cell r="A103" t="str">
            <v>Alaska</v>
          </cell>
        </row>
        <row r="104">
          <cell r="A104" t="str">
            <v>Alaska</v>
          </cell>
        </row>
        <row r="105">
          <cell r="A105" t="str">
            <v>Alaska</v>
          </cell>
        </row>
        <row r="106">
          <cell r="A106" t="str">
            <v>Alaska</v>
          </cell>
        </row>
        <row r="107">
          <cell r="A107" t="str">
            <v>Alaska</v>
          </cell>
        </row>
        <row r="108">
          <cell r="A108" t="str">
            <v>Alaska</v>
          </cell>
        </row>
        <row r="109">
          <cell r="A109" t="str">
            <v>Alaska</v>
          </cell>
        </row>
        <row r="110">
          <cell r="A110" t="str">
            <v>Alaska</v>
          </cell>
        </row>
        <row r="111">
          <cell r="A111" t="str">
            <v>Alaska</v>
          </cell>
        </row>
        <row r="112">
          <cell r="A112" t="str">
            <v>Alaska</v>
          </cell>
        </row>
        <row r="113">
          <cell r="A113" t="str">
            <v>Alaska</v>
          </cell>
        </row>
        <row r="114">
          <cell r="A114" t="str">
            <v>Alaska</v>
          </cell>
        </row>
        <row r="115">
          <cell r="A115" t="str">
            <v>Alaska</v>
          </cell>
        </row>
        <row r="116">
          <cell r="A116" t="str">
            <v>Alaska</v>
          </cell>
        </row>
        <row r="117">
          <cell r="A117" t="str">
            <v>Alaska</v>
          </cell>
        </row>
        <row r="118">
          <cell r="A118" t="str">
            <v>Alaska</v>
          </cell>
        </row>
        <row r="119">
          <cell r="A119" t="str">
            <v>Alaska</v>
          </cell>
        </row>
        <row r="120">
          <cell r="A120" t="str">
            <v>Alaska</v>
          </cell>
        </row>
        <row r="121">
          <cell r="A121" t="str">
            <v>Alaska</v>
          </cell>
        </row>
        <row r="122">
          <cell r="A122" t="str">
            <v>Alaska</v>
          </cell>
        </row>
        <row r="123">
          <cell r="A123" t="str">
            <v>Alaska</v>
          </cell>
        </row>
        <row r="124">
          <cell r="A124" t="str">
            <v>Alaska</v>
          </cell>
        </row>
        <row r="125">
          <cell r="A125" t="str">
            <v>Alaska</v>
          </cell>
        </row>
        <row r="126">
          <cell r="A126" t="str">
            <v>Alaska</v>
          </cell>
        </row>
        <row r="127">
          <cell r="A127" t="str">
            <v>Alaska</v>
          </cell>
        </row>
        <row r="128">
          <cell r="A128" t="str">
            <v>Alaska</v>
          </cell>
        </row>
        <row r="129">
          <cell r="A129" t="str">
            <v>Alaska</v>
          </cell>
        </row>
        <row r="130">
          <cell r="A130" t="str">
            <v>Alaska</v>
          </cell>
        </row>
        <row r="131">
          <cell r="A131" t="str">
            <v>Alaska</v>
          </cell>
        </row>
        <row r="132">
          <cell r="A132" t="str">
            <v>Alaska</v>
          </cell>
        </row>
        <row r="133">
          <cell r="A133" t="str">
            <v>Alaska</v>
          </cell>
        </row>
        <row r="134">
          <cell r="A134" t="str">
            <v>Alaska</v>
          </cell>
        </row>
        <row r="135">
          <cell r="A135" t="str">
            <v>Alaska</v>
          </cell>
        </row>
        <row r="136">
          <cell r="A136" t="str">
            <v>Alaska</v>
          </cell>
        </row>
        <row r="137">
          <cell r="A137" t="str">
            <v>Alaska</v>
          </cell>
        </row>
        <row r="138">
          <cell r="A138" t="str">
            <v>Alaska</v>
          </cell>
        </row>
        <row r="139">
          <cell r="A139" t="str">
            <v>Alaska</v>
          </cell>
        </row>
        <row r="140">
          <cell r="A140" t="str">
            <v>Alaska</v>
          </cell>
        </row>
        <row r="141">
          <cell r="A141" t="str">
            <v>Alaska</v>
          </cell>
        </row>
        <row r="142">
          <cell r="A142" t="str">
            <v>Alaska</v>
          </cell>
        </row>
        <row r="143">
          <cell r="A143" t="str">
            <v>Alaska</v>
          </cell>
        </row>
        <row r="144">
          <cell r="A144" t="str">
            <v>Alaska</v>
          </cell>
        </row>
        <row r="145">
          <cell r="A145" t="str">
            <v>Alaska</v>
          </cell>
        </row>
        <row r="146">
          <cell r="A146" t="str">
            <v>Alaska</v>
          </cell>
        </row>
        <row r="147">
          <cell r="A147" t="str">
            <v>Alaska</v>
          </cell>
        </row>
        <row r="148">
          <cell r="A148" t="str">
            <v>Alaska</v>
          </cell>
        </row>
        <row r="149">
          <cell r="A149" t="str">
            <v>Alaska</v>
          </cell>
        </row>
        <row r="150">
          <cell r="A150" t="str">
            <v>Alaska</v>
          </cell>
        </row>
        <row r="151">
          <cell r="A151" t="str">
            <v>Alaska</v>
          </cell>
        </row>
        <row r="152">
          <cell r="A152" t="str">
            <v>Alaska</v>
          </cell>
        </row>
        <row r="153">
          <cell r="A153" t="str">
            <v>Alaska</v>
          </cell>
        </row>
        <row r="154">
          <cell r="A154" t="str">
            <v>Alaska</v>
          </cell>
        </row>
        <row r="155">
          <cell r="A155" t="str">
            <v>Alaska</v>
          </cell>
        </row>
        <row r="156">
          <cell r="A156" t="str">
            <v>Alaska</v>
          </cell>
        </row>
        <row r="157">
          <cell r="A157" t="str">
            <v>Alaska</v>
          </cell>
        </row>
        <row r="158">
          <cell r="A158" t="str">
            <v>Alaska</v>
          </cell>
        </row>
        <row r="159">
          <cell r="A159" t="str">
            <v>Alaska</v>
          </cell>
        </row>
        <row r="160">
          <cell r="A160" t="str">
            <v>Alaska</v>
          </cell>
        </row>
        <row r="161">
          <cell r="A161" t="str">
            <v>Alaska</v>
          </cell>
        </row>
        <row r="162">
          <cell r="A162" t="str">
            <v>Alaska</v>
          </cell>
        </row>
        <row r="163">
          <cell r="A163" t="str">
            <v>Alaska</v>
          </cell>
        </row>
        <row r="164">
          <cell r="A164" t="str">
            <v>Alaska</v>
          </cell>
        </row>
        <row r="165">
          <cell r="A165" t="str">
            <v>Alaska</v>
          </cell>
        </row>
        <row r="166">
          <cell r="A166" t="str">
            <v>Alaska</v>
          </cell>
        </row>
        <row r="167">
          <cell r="A167" t="str">
            <v>Alaska</v>
          </cell>
        </row>
        <row r="168">
          <cell r="A168" t="str">
            <v>Alaska</v>
          </cell>
        </row>
        <row r="169">
          <cell r="A169" t="str">
            <v>Alaska</v>
          </cell>
        </row>
        <row r="170">
          <cell r="A170" t="str">
            <v>Alaska</v>
          </cell>
        </row>
        <row r="171">
          <cell r="A171" t="str">
            <v>Alaska</v>
          </cell>
        </row>
        <row r="172">
          <cell r="A172" t="str">
            <v>Alaska</v>
          </cell>
        </row>
        <row r="173">
          <cell r="A173" t="str">
            <v>Alaska</v>
          </cell>
        </row>
        <row r="174">
          <cell r="A174" t="str">
            <v>Alaska</v>
          </cell>
        </row>
        <row r="175">
          <cell r="A175" t="str">
            <v>Alaska</v>
          </cell>
        </row>
        <row r="176">
          <cell r="A176" t="str">
            <v>Alaska</v>
          </cell>
        </row>
        <row r="177">
          <cell r="A177" t="str">
            <v>Alaska</v>
          </cell>
        </row>
        <row r="178">
          <cell r="A178" t="str">
            <v>Alaska</v>
          </cell>
        </row>
        <row r="179">
          <cell r="A179" t="str">
            <v>Alaska</v>
          </cell>
        </row>
        <row r="180">
          <cell r="A180" t="str">
            <v>Alaska</v>
          </cell>
        </row>
        <row r="181">
          <cell r="A181" t="str">
            <v>Alaska</v>
          </cell>
        </row>
        <row r="182">
          <cell r="A182" t="str">
            <v>Alaska</v>
          </cell>
        </row>
        <row r="183">
          <cell r="A183" t="str">
            <v>Alaska</v>
          </cell>
        </row>
        <row r="184">
          <cell r="A184" t="str">
            <v>Alaska</v>
          </cell>
        </row>
        <row r="185">
          <cell r="A185" t="str">
            <v>Alaska</v>
          </cell>
        </row>
        <row r="186">
          <cell r="A186" t="str">
            <v>Alaska</v>
          </cell>
        </row>
        <row r="187">
          <cell r="A187" t="str">
            <v>Alaska</v>
          </cell>
        </row>
        <row r="188">
          <cell r="A188" t="str">
            <v>Alaska</v>
          </cell>
        </row>
        <row r="189">
          <cell r="A189" t="str">
            <v>Alaska</v>
          </cell>
        </row>
        <row r="190">
          <cell r="A190" t="str">
            <v>Alaska</v>
          </cell>
        </row>
        <row r="191">
          <cell r="A191" t="str">
            <v>Alaska</v>
          </cell>
        </row>
        <row r="192">
          <cell r="A192" t="str">
            <v>Alaska</v>
          </cell>
        </row>
        <row r="193">
          <cell r="A193" t="str">
            <v>Alaska</v>
          </cell>
        </row>
        <row r="194">
          <cell r="A194" t="str">
            <v>Alaska</v>
          </cell>
        </row>
        <row r="195">
          <cell r="A195" t="str">
            <v>Alaska</v>
          </cell>
        </row>
        <row r="196">
          <cell r="A196" t="str">
            <v>Alaska</v>
          </cell>
        </row>
        <row r="197">
          <cell r="A197" t="str">
            <v>Alaska</v>
          </cell>
        </row>
        <row r="198">
          <cell r="A198" t="str">
            <v>Alaska</v>
          </cell>
        </row>
        <row r="199">
          <cell r="A199" t="str">
            <v>Alaska</v>
          </cell>
        </row>
        <row r="200">
          <cell r="A200" t="str">
            <v>Alaska</v>
          </cell>
        </row>
        <row r="201">
          <cell r="A201" t="str">
            <v>Alaska</v>
          </cell>
        </row>
        <row r="202">
          <cell r="A202" t="str">
            <v>Alaska</v>
          </cell>
        </row>
        <row r="203">
          <cell r="A203" t="str">
            <v>Alaska</v>
          </cell>
        </row>
        <row r="204">
          <cell r="A204" t="str">
            <v>Alaska</v>
          </cell>
        </row>
        <row r="205">
          <cell r="A205" t="str">
            <v>Alaska</v>
          </cell>
        </row>
        <row r="206">
          <cell r="A206" t="str">
            <v>Alaska</v>
          </cell>
        </row>
        <row r="207">
          <cell r="A207" t="str">
            <v>Alaska</v>
          </cell>
        </row>
        <row r="208">
          <cell r="A208" t="str">
            <v>Alaska</v>
          </cell>
        </row>
        <row r="209">
          <cell r="A209" t="str">
            <v>Alaska</v>
          </cell>
        </row>
        <row r="210">
          <cell r="A210" t="str">
            <v>Alaska</v>
          </cell>
        </row>
        <row r="211">
          <cell r="A211" t="str">
            <v>Alaska</v>
          </cell>
        </row>
        <row r="212">
          <cell r="A212" t="str">
            <v>Alaska</v>
          </cell>
        </row>
        <row r="213">
          <cell r="A213" t="str">
            <v>Alaska</v>
          </cell>
        </row>
        <row r="214">
          <cell r="A214" t="str">
            <v>Alaska</v>
          </cell>
        </row>
        <row r="215">
          <cell r="A215" t="str">
            <v>Alaska</v>
          </cell>
        </row>
        <row r="216">
          <cell r="A216" t="str">
            <v>Alaska</v>
          </cell>
        </row>
        <row r="217">
          <cell r="A217" t="str">
            <v>Alaska</v>
          </cell>
        </row>
        <row r="218">
          <cell r="A218" t="str">
            <v>Alaska</v>
          </cell>
        </row>
        <row r="219">
          <cell r="A219" t="str">
            <v>Alaska</v>
          </cell>
        </row>
        <row r="220">
          <cell r="A220" t="str">
            <v>Alaska</v>
          </cell>
        </row>
        <row r="221">
          <cell r="A221" t="str">
            <v>Alaska</v>
          </cell>
        </row>
        <row r="222">
          <cell r="A222" t="str">
            <v>Alaska</v>
          </cell>
        </row>
        <row r="223">
          <cell r="A223" t="str">
            <v>Alaska</v>
          </cell>
        </row>
        <row r="224">
          <cell r="A224" t="str">
            <v>Alaska</v>
          </cell>
        </row>
        <row r="225">
          <cell r="A225" t="str">
            <v>Alaska</v>
          </cell>
        </row>
        <row r="226">
          <cell r="A226" t="str">
            <v>Alaska</v>
          </cell>
        </row>
        <row r="227">
          <cell r="A227" t="str">
            <v>Alaska</v>
          </cell>
        </row>
        <row r="228">
          <cell r="A228" t="str">
            <v>Alaska</v>
          </cell>
        </row>
        <row r="229">
          <cell r="A229" t="str">
            <v>Alaska</v>
          </cell>
        </row>
        <row r="230">
          <cell r="A230" t="str">
            <v>Alaska</v>
          </cell>
        </row>
        <row r="231">
          <cell r="A231" t="str">
            <v>Alaska</v>
          </cell>
        </row>
        <row r="232">
          <cell r="A232" t="str">
            <v>Alaska</v>
          </cell>
        </row>
        <row r="233">
          <cell r="A233" t="str">
            <v>Alaska</v>
          </cell>
        </row>
        <row r="234">
          <cell r="A234" t="str">
            <v>Alaska</v>
          </cell>
        </row>
        <row r="235">
          <cell r="A235" t="str">
            <v>Alaska</v>
          </cell>
        </row>
        <row r="236">
          <cell r="A236" t="str">
            <v>Alaska</v>
          </cell>
        </row>
        <row r="237">
          <cell r="A237" t="str">
            <v>Alaska</v>
          </cell>
        </row>
        <row r="238">
          <cell r="A238" t="str">
            <v>Alaska</v>
          </cell>
        </row>
        <row r="239">
          <cell r="A239" t="str">
            <v>Alaska</v>
          </cell>
        </row>
        <row r="240">
          <cell r="A240" t="str">
            <v>Alaska</v>
          </cell>
        </row>
        <row r="241">
          <cell r="A241" t="str">
            <v>Arizona</v>
          </cell>
        </row>
        <row r="242">
          <cell r="A242" t="str">
            <v>Arizona</v>
          </cell>
        </row>
        <row r="243">
          <cell r="A243" t="str">
            <v>Arizona</v>
          </cell>
        </row>
        <row r="244">
          <cell r="A244" t="str">
            <v>Arizona</v>
          </cell>
        </row>
        <row r="245">
          <cell r="A245" t="str">
            <v>Arizona</v>
          </cell>
        </row>
        <row r="246">
          <cell r="A246" t="str">
            <v>Arizona</v>
          </cell>
        </row>
        <row r="247">
          <cell r="A247" t="str">
            <v>Arizona</v>
          </cell>
        </row>
        <row r="248">
          <cell r="A248" t="str">
            <v>Arizona</v>
          </cell>
        </row>
        <row r="249">
          <cell r="A249" t="str">
            <v>Arizona</v>
          </cell>
        </row>
        <row r="250">
          <cell r="A250" t="str">
            <v>Arizona</v>
          </cell>
        </row>
        <row r="251">
          <cell r="A251" t="str">
            <v>Arizona</v>
          </cell>
        </row>
        <row r="252">
          <cell r="A252" t="str">
            <v>Arizona</v>
          </cell>
        </row>
        <row r="253">
          <cell r="A253" t="str">
            <v>Arizona</v>
          </cell>
        </row>
        <row r="254">
          <cell r="A254" t="str">
            <v>Arizona</v>
          </cell>
        </row>
        <row r="255">
          <cell r="A255" t="str">
            <v>Arizona</v>
          </cell>
        </row>
        <row r="256">
          <cell r="A256" t="str">
            <v>Arizona</v>
          </cell>
        </row>
        <row r="257">
          <cell r="A257" t="str">
            <v>Arizona</v>
          </cell>
        </row>
        <row r="258">
          <cell r="A258" t="str">
            <v>Arizona</v>
          </cell>
        </row>
        <row r="259">
          <cell r="A259" t="str">
            <v>Arizona</v>
          </cell>
        </row>
        <row r="260">
          <cell r="A260" t="str">
            <v>Arizona</v>
          </cell>
        </row>
        <row r="261">
          <cell r="A261" t="str">
            <v>Arizona</v>
          </cell>
        </row>
        <row r="262">
          <cell r="A262" t="str">
            <v>Arizona</v>
          </cell>
        </row>
        <row r="263">
          <cell r="A263" t="str">
            <v>Arizona</v>
          </cell>
        </row>
        <row r="264">
          <cell r="A264" t="str">
            <v>Arizona</v>
          </cell>
        </row>
        <row r="265">
          <cell r="A265" t="str">
            <v>Arizona</v>
          </cell>
        </row>
        <row r="266">
          <cell r="A266" t="str">
            <v>Arizona</v>
          </cell>
        </row>
        <row r="267">
          <cell r="A267" t="str">
            <v>Arizona</v>
          </cell>
        </row>
        <row r="268">
          <cell r="A268" t="str">
            <v>Arizona</v>
          </cell>
        </row>
        <row r="269">
          <cell r="A269" t="str">
            <v>Arizona</v>
          </cell>
        </row>
        <row r="270">
          <cell r="A270" t="str">
            <v>Arizona</v>
          </cell>
        </row>
        <row r="271">
          <cell r="A271" t="str">
            <v>Arizona</v>
          </cell>
        </row>
        <row r="272">
          <cell r="A272" t="str">
            <v>Arizona</v>
          </cell>
        </row>
        <row r="273">
          <cell r="A273" t="str">
            <v>Arizona</v>
          </cell>
        </row>
        <row r="274">
          <cell r="A274" t="str">
            <v>Arizona</v>
          </cell>
        </row>
        <row r="275">
          <cell r="A275" t="str">
            <v>Arizona</v>
          </cell>
        </row>
        <row r="276">
          <cell r="A276" t="str">
            <v>Arizona</v>
          </cell>
        </row>
        <row r="277">
          <cell r="A277" t="str">
            <v>Arizona</v>
          </cell>
        </row>
        <row r="278">
          <cell r="A278" t="str">
            <v>Arizona</v>
          </cell>
        </row>
        <row r="279">
          <cell r="A279" t="str">
            <v>Arizona</v>
          </cell>
        </row>
        <row r="280">
          <cell r="A280" t="str">
            <v>Arizona</v>
          </cell>
        </row>
        <row r="281">
          <cell r="A281" t="str">
            <v>Arizona</v>
          </cell>
        </row>
        <row r="282">
          <cell r="A282" t="str">
            <v>Arizona</v>
          </cell>
        </row>
        <row r="283">
          <cell r="A283" t="str">
            <v>Arkansas</v>
          </cell>
        </row>
        <row r="284">
          <cell r="A284" t="str">
            <v>Arkansas</v>
          </cell>
        </row>
        <row r="285">
          <cell r="A285" t="str">
            <v>Arkansas</v>
          </cell>
        </row>
        <row r="286">
          <cell r="A286" t="str">
            <v>Arkansas</v>
          </cell>
        </row>
        <row r="287">
          <cell r="A287" t="str">
            <v>Arkansas</v>
          </cell>
        </row>
        <row r="288">
          <cell r="A288" t="str">
            <v>Arkansas</v>
          </cell>
        </row>
        <row r="289">
          <cell r="A289" t="str">
            <v>Arkansas</v>
          </cell>
        </row>
        <row r="290">
          <cell r="A290" t="str">
            <v>Arkansas</v>
          </cell>
        </row>
        <row r="291">
          <cell r="A291" t="str">
            <v>Arkansas</v>
          </cell>
        </row>
        <row r="292">
          <cell r="A292" t="str">
            <v>Arkansas</v>
          </cell>
        </row>
        <row r="293">
          <cell r="A293" t="str">
            <v>Arkansas</v>
          </cell>
        </row>
        <row r="294">
          <cell r="A294" t="str">
            <v>Arkansas</v>
          </cell>
        </row>
        <row r="295">
          <cell r="A295" t="str">
            <v>Arkansas</v>
          </cell>
        </row>
        <row r="296">
          <cell r="A296" t="str">
            <v>Arkansas</v>
          </cell>
        </row>
        <row r="297">
          <cell r="A297" t="str">
            <v>Arkansas</v>
          </cell>
        </row>
        <row r="298">
          <cell r="A298" t="str">
            <v>Arkansas</v>
          </cell>
        </row>
        <row r="299">
          <cell r="A299" t="str">
            <v>Arkansas</v>
          </cell>
        </row>
        <row r="300">
          <cell r="A300" t="str">
            <v>Arkansas</v>
          </cell>
        </row>
        <row r="301">
          <cell r="A301" t="str">
            <v>Arkansas</v>
          </cell>
        </row>
        <row r="302">
          <cell r="A302" t="str">
            <v>Arkansas</v>
          </cell>
        </row>
        <row r="303">
          <cell r="A303" t="str">
            <v>Arkansas</v>
          </cell>
        </row>
        <row r="304">
          <cell r="A304" t="str">
            <v>Arkansas</v>
          </cell>
        </row>
        <row r="305">
          <cell r="A305" t="str">
            <v>Arkansas</v>
          </cell>
        </row>
        <row r="306">
          <cell r="A306" t="str">
            <v>Arkansas</v>
          </cell>
        </row>
        <row r="307">
          <cell r="A307" t="str">
            <v>Arkansas</v>
          </cell>
        </row>
        <row r="308">
          <cell r="A308" t="str">
            <v>Arkansas</v>
          </cell>
        </row>
        <row r="309">
          <cell r="A309" t="str">
            <v>Arkansas</v>
          </cell>
        </row>
        <row r="310">
          <cell r="A310" t="str">
            <v>Arkansas</v>
          </cell>
        </row>
        <row r="311">
          <cell r="A311" t="str">
            <v>Arkansas</v>
          </cell>
        </row>
        <row r="312">
          <cell r="A312" t="str">
            <v>Arkansas</v>
          </cell>
        </row>
        <row r="313">
          <cell r="A313" t="str">
            <v>Arkansas</v>
          </cell>
        </row>
        <row r="314">
          <cell r="A314" t="str">
            <v>Arkansas</v>
          </cell>
        </row>
        <row r="315">
          <cell r="A315" t="str">
            <v>Arkansas</v>
          </cell>
        </row>
        <row r="316">
          <cell r="A316" t="str">
            <v>Arkansas</v>
          </cell>
        </row>
        <row r="317">
          <cell r="A317" t="str">
            <v>Arkansas</v>
          </cell>
        </row>
        <row r="318">
          <cell r="A318" t="str">
            <v>Arkansas</v>
          </cell>
        </row>
        <row r="319">
          <cell r="A319" t="str">
            <v>Arkansas</v>
          </cell>
        </row>
        <row r="320">
          <cell r="A320" t="str">
            <v>Arkansas</v>
          </cell>
        </row>
        <row r="321">
          <cell r="A321" t="str">
            <v>Arkansas</v>
          </cell>
        </row>
        <row r="322">
          <cell r="A322" t="str">
            <v>Arkansas</v>
          </cell>
        </row>
        <row r="323">
          <cell r="A323" t="str">
            <v>Arkansas</v>
          </cell>
        </row>
        <row r="324">
          <cell r="A324" t="str">
            <v>Arkansas</v>
          </cell>
        </row>
        <row r="325">
          <cell r="A325" t="str">
            <v>Arkansas</v>
          </cell>
        </row>
        <row r="326">
          <cell r="A326" t="str">
            <v>Arkansas</v>
          </cell>
        </row>
        <row r="327">
          <cell r="A327" t="str">
            <v>California</v>
          </cell>
        </row>
        <row r="328">
          <cell r="A328" t="str">
            <v>California</v>
          </cell>
        </row>
        <row r="329">
          <cell r="A329" t="str">
            <v>California</v>
          </cell>
        </row>
        <row r="330">
          <cell r="A330" t="str">
            <v>California</v>
          </cell>
        </row>
        <row r="331">
          <cell r="A331" t="str">
            <v>California</v>
          </cell>
        </row>
        <row r="332">
          <cell r="A332" t="str">
            <v>California</v>
          </cell>
        </row>
        <row r="333">
          <cell r="A333" t="str">
            <v>California</v>
          </cell>
        </row>
        <row r="334">
          <cell r="A334" t="str">
            <v>California</v>
          </cell>
        </row>
        <row r="335">
          <cell r="A335" t="str">
            <v>California</v>
          </cell>
        </row>
        <row r="336">
          <cell r="A336" t="str">
            <v>California</v>
          </cell>
        </row>
        <row r="337">
          <cell r="A337" t="str">
            <v>California</v>
          </cell>
        </row>
        <row r="338">
          <cell r="A338" t="str">
            <v>California</v>
          </cell>
        </row>
        <row r="339">
          <cell r="A339" t="str">
            <v>California</v>
          </cell>
        </row>
        <row r="340">
          <cell r="A340" t="str">
            <v>California</v>
          </cell>
        </row>
        <row r="341">
          <cell r="A341" t="str">
            <v>California</v>
          </cell>
        </row>
        <row r="342">
          <cell r="A342" t="str">
            <v>California</v>
          </cell>
        </row>
        <row r="343">
          <cell r="A343" t="str">
            <v>California</v>
          </cell>
        </row>
        <row r="344">
          <cell r="A344" t="str">
            <v>California</v>
          </cell>
        </row>
        <row r="345">
          <cell r="A345" t="str">
            <v>California</v>
          </cell>
        </row>
        <row r="346">
          <cell r="A346" t="str">
            <v>California</v>
          </cell>
        </row>
        <row r="347">
          <cell r="A347" t="str">
            <v>California</v>
          </cell>
        </row>
        <row r="348">
          <cell r="A348" t="str">
            <v>California</v>
          </cell>
        </row>
        <row r="349">
          <cell r="A349" t="str">
            <v>California</v>
          </cell>
        </row>
        <row r="350">
          <cell r="A350" t="str">
            <v>California</v>
          </cell>
        </row>
        <row r="351">
          <cell r="A351" t="str">
            <v>California</v>
          </cell>
        </row>
        <row r="352">
          <cell r="A352" t="str">
            <v>California</v>
          </cell>
        </row>
        <row r="353">
          <cell r="A353" t="str">
            <v>California</v>
          </cell>
        </row>
        <row r="354">
          <cell r="A354" t="str">
            <v>California</v>
          </cell>
        </row>
        <row r="355">
          <cell r="A355" t="str">
            <v>California</v>
          </cell>
        </row>
        <row r="356">
          <cell r="A356" t="str">
            <v>California</v>
          </cell>
        </row>
        <row r="357">
          <cell r="A357" t="str">
            <v>California</v>
          </cell>
        </row>
        <row r="358">
          <cell r="A358" t="str">
            <v>California</v>
          </cell>
        </row>
        <row r="359">
          <cell r="A359" t="str">
            <v>California</v>
          </cell>
        </row>
        <row r="360">
          <cell r="A360" t="str">
            <v>California</v>
          </cell>
        </row>
        <row r="361">
          <cell r="A361" t="str">
            <v>California</v>
          </cell>
        </row>
        <row r="362">
          <cell r="A362" t="str">
            <v>California</v>
          </cell>
        </row>
        <row r="363">
          <cell r="A363" t="str">
            <v>California</v>
          </cell>
        </row>
        <row r="364">
          <cell r="A364" t="str">
            <v>California</v>
          </cell>
        </row>
        <row r="365">
          <cell r="A365" t="str">
            <v>California</v>
          </cell>
        </row>
        <row r="366">
          <cell r="A366" t="str">
            <v>California</v>
          </cell>
        </row>
        <row r="367">
          <cell r="A367" t="str">
            <v>California</v>
          </cell>
        </row>
        <row r="368">
          <cell r="A368" t="str">
            <v>California</v>
          </cell>
        </row>
        <row r="369">
          <cell r="A369" t="str">
            <v>California</v>
          </cell>
        </row>
        <row r="370">
          <cell r="A370" t="str">
            <v>California</v>
          </cell>
        </row>
        <row r="371">
          <cell r="A371" t="str">
            <v>California</v>
          </cell>
        </row>
        <row r="372">
          <cell r="A372" t="str">
            <v>California</v>
          </cell>
        </row>
        <row r="373">
          <cell r="A373" t="str">
            <v>California</v>
          </cell>
        </row>
        <row r="374">
          <cell r="A374" t="str">
            <v>California</v>
          </cell>
        </row>
        <row r="375">
          <cell r="A375" t="str">
            <v>California</v>
          </cell>
        </row>
        <row r="376">
          <cell r="A376" t="str">
            <v>California</v>
          </cell>
        </row>
        <row r="377">
          <cell r="A377" t="str">
            <v>California</v>
          </cell>
        </row>
        <row r="378">
          <cell r="A378" t="str">
            <v>California</v>
          </cell>
        </row>
        <row r="379">
          <cell r="A379" t="str">
            <v>California</v>
          </cell>
        </row>
        <row r="380">
          <cell r="A380" t="str">
            <v>California</v>
          </cell>
        </row>
        <row r="381">
          <cell r="A381" t="str">
            <v>California</v>
          </cell>
        </row>
        <row r="382">
          <cell r="A382" t="str">
            <v>California</v>
          </cell>
        </row>
        <row r="383">
          <cell r="A383" t="str">
            <v>California</v>
          </cell>
        </row>
        <row r="384">
          <cell r="A384" t="str">
            <v>California</v>
          </cell>
        </row>
        <row r="385">
          <cell r="A385" t="str">
            <v>California</v>
          </cell>
        </row>
        <row r="386">
          <cell r="A386" t="str">
            <v>California</v>
          </cell>
        </row>
        <row r="387">
          <cell r="A387" t="str">
            <v>California</v>
          </cell>
        </row>
        <row r="388">
          <cell r="A388" t="str">
            <v>California</v>
          </cell>
        </row>
        <row r="389">
          <cell r="A389" t="str">
            <v>California</v>
          </cell>
        </row>
        <row r="390">
          <cell r="A390" t="str">
            <v>California</v>
          </cell>
        </row>
        <row r="391">
          <cell r="A391" t="str">
            <v>California</v>
          </cell>
        </row>
        <row r="392">
          <cell r="A392" t="str">
            <v>California</v>
          </cell>
        </row>
        <row r="393">
          <cell r="A393" t="str">
            <v>California</v>
          </cell>
        </row>
        <row r="394">
          <cell r="A394" t="str">
            <v>California</v>
          </cell>
        </row>
        <row r="395">
          <cell r="A395" t="str">
            <v>California</v>
          </cell>
        </row>
        <row r="396">
          <cell r="A396" t="str">
            <v>California</v>
          </cell>
        </row>
        <row r="397">
          <cell r="A397" t="str">
            <v>California</v>
          </cell>
        </row>
        <row r="398">
          <cell r="A398" t="str">
            <v>California</v>
          </cell>
        </row>
        <row r="399">
          <cell r="A399" t="str">
            <v>California</v>
          </cell>
        </row>
        <row r="400">
          <cell r="A400" t="str">
            <v>California</v>
          </cell>
        </row>
        <row r="401">
          <cell r="A401" t="str">
            <v>California</v>
          </cell>
        </row>
        <row r="402">
          <cell r="A402" t="str">
            <v>California</v>
          </cell>
        </row>
        <row r="403">
          <cell r="A403" t="str">
            <v>California</v>
          </cell>
        </row>
        <row r="404">
          <cell r="A404" t="str">
            <v>California</v>
          </cell>
        </row>
        <row r="405">
          <cell r="A405" t="str">
            <v>California</v>
          </cell>
        </row>
        <row r="406">
          <cell r="A406" t="str">
            <v>California</v>
          </cell>
        </row>
        <row r="407">
          <cell r="A407" t="str">
            <v>California</v>
          </cell>
        </row>
        <row r="408">
          <cell r="A408" t="str">
            <v>California</v>
          </cell>
        </row>
        <row r="409">
          <cell r="A409" t="str">
            <v>California</v>
          </cell>
        </row>
        <row r="410">
          <cell r="A410" t="str">
            <v>California</v>
          </cell>
        </row>
        <row r="411">
          <cell r="A411" t="str">
            <v>California</v>
          </cell>
        </row>
        <row r="412">
          <cell r="A412" t="str">
            <v>California</v>
          </cell>
        </row>
        <row r="413">
          <cell r="A413" t="str">
            <v>California</v>
          </cell>
        </row>
        <row r="414">
          <cell r="A414" t="str">
            <v>California</v>
          </cell>
        </row>
        <row r="415">
          <cell r="A415" t="str">
            <v>California</v>
          </cell>
        </row>
        <row r="416">
          <cell r="A416" t="str">
            <v>California</v>
          </cell>
        </row>
        <row r="417">
          <cell r="A417" t="str">
            <v>California</v>
          </cell>
        </row>
        <row r="418">
          <cell r="A418" t="str">
            <v>California</v>
          </cell>
        </row>
        <row r="419">
          <cell r="A419" t="str">
            <v>California</v>
          </cell>
        </row>
        <row r="420">
          <cell r="A420" t="str">
            <v>California</v>
          </cell>
        </row>
        <row r="421">
          <cell r="A421" t="str">
            <v>California</v>
          </cell>
        </row>
        <row r="422">
          <cell r="A422" t="str">
            <v>California</v>
          </cell>
        </row>
        <row r="423">
          <cell r="A423" t="str">
            <v>California</v>
          </cell>
        </row>
        <row r="424">
          <cell r="A424" t="str">
            <v>California</v>
          </cell>
        </row>
        <row r="425">
          <cell r="A425" t="str">
            <v>California</v>
          </cell>
        </row>
        <row r="426">
          <cell r="A426" t="str">
            <v>California</v>
          </cell>
        </row>
        <row r="427">
          <cell r="A427" t="str">
            <v>California</v>
          </cell>
        </row>
        <row r="428">
          <cell r="A428" t="str">
            <v>California</v>
          </cell>
        </row>
        <row r="429">
          <cell r="A429" t="str">
            <v>California</v>
          </cell>
        </row>
        <row r="430">
          <cell r="A430" t="str">
            <v>California</v>
          </cell>
        </row>
        <row r="431">
          <cell r="A431" t="str">
            <v>California</v>
          </cell>
        </row>
        <row r="432">
          <cell r="A432" t="str">
            <v>California</v>
          </cell>
        </row>
        <row r="433">
          <cell r="A433" t="str">
            <v>California</v>
          </cell>
        </row>
        <row r="434">
          <cell r="A434" t="str">
            <v>California</v>
          </cell>
        </row>
        <row r="435">
          <cell r="A435" t="str">
            <v>California</v>
          </cell>
        </row>
        <row r="436">
          <cell r="A436" t="str">
            <v>California</v>
          </cell>
        </row>
        <row r="437">
          <cell r="A437" t="str">
            <v>California</v>
          </cell>
        </row>
        <row r="438">
          <cell r="A438" t="str">
            <v>California</v>
          </cell>
        </row>
        <row r="439">
          <cell r="A439" t="str">
            <v>California</v>
          </cell>
        </row>
        <row r="440">
          <cell r="A440" t="str">
            <v>California</v>
          </cell>
        </row>
        <row r="441">
          <cell r="A441" t="str">
            <v>California</v>
          </cell>
        </row>
        <row r="442">
          <cell r="A442" t="str">
            <v>California</v>
          </cell>
        </row>
        <row r="443">
          <cell r="A443" t="str">
            <v>California</v>
          </cell>
        </row>
        <row r="444">
          <cell r="A444" t="str">
            <v>California</v>
          </cell>
        </row>
        <row r="445">
          <cell r="A445" t="str">
            <v>California</v>
          </cell>
        </row>
        <row r="446">
          <cell r="A446" t="str">
            <v>California</v>
          </cell>
        </row>
        <row r="447">
          <cell r="A447" t="str">
            <v>California</v>
          </cell>
        </row>
        <row r="448">
          <cell r="A448" t="str">
            <v>California</v>
          </cell>
        </row>
        <row r="449">
          <cell r="A449" t="str">
            <v>California</v>
          </cell>
        </row>
        <row r="450">
          <cell r="A450" t="str">
            <v>California</v>
          </cell>
        </row>
        <row r="451">
          <cell r="A451" t="str">
            <v>California</v>
          </cell>
        </row>
        <row r="452">
          <cell r="A452" t="str">
            <v>California</v>
          </cell>
        </row>
        <row r="453">
          <cell r="A453" t="str">
            <v>California</v>
          </cell>
        </row>
        <row r="454">
          <cell r="A454" t="str">
            <v>California</v>
          </cell>
        </row>
        <row r="455">
          <cell r="A455" t="str">
            <v>California</v>
          </cell>
        </row>
        <row r="456">
          <cell r="A456" t="str">
            <v>California</v>
          </cell>
        </row>
        <row r="457">
          <cell r="A457" t="str">
            <v>California</v>
          </cell>
        </row>
        <row r="458">
          <cell r="A458" t="str">
            <v>California</v>
          </cell>
        </row>
        <row r="459">
          <cell r="A459" t="str">
            <v>California</v>
          </cell>
        </row>
        <row r="460">
          <cell r="A460" t="str">
            <v>California</v>
          </cell>
        </row>
        <row r="461">
          <cell r="A461" t="str">
            <v>California</v>
          </cell>
        </row>
        <row r="462">
          <cell r="A462" t="str">
            <v>California</v>
          </cell>
        </row>
        <row r="463">
          <cell r="A463" t="str">
            <v>California</v>
          </cell>
        </row>
        <row r="464">
          <cell r="A464" t="str">
            <v>California</v>
          </cell>
        </row>
        <row r="465">
          <cell r="A465" t="str">
            <v>California</v>
          </cell>
        </row>
        <row r="466">
          <cell r="A466" t="str">
            <v>California</v>
          </cell>
        </row>
        <row r="467">
          <cell r="A467" t="str">
            <v>California</v>
          </cell>
        </row>
        <row r="468">
          <cell r="A468" t="str">
            <v>California</v>
          </cell>
        </row>
        <row r="469">
          <cell r="A469" t="str">
            <v>California</v>
          </cell>
        </row>
        <row r="470">
          <cell r="A470" t="str">
            <v>California</v>
          </cell>
        </row>
        <row r="471">
          <cell r="A471" t="str">
            <v>California</v>
          </cell>
        </row>
        <row r="472">
          <cell r="A472" t="str">
            <v>California</v>
          </cell>
        </row>
        <row r="473">
          <cell r="A473" t="str">
            <v>California</v>
          </cell>
        </row>
        <row r="474">
          <cell r="A474" t="str">
            <v>California</v>
          </cell>
        </row>
        <row r="475">
          <cell r="A475" t="str">
            <v>California</v>
          </cell>
        </row>
        <row r="476">
          <cell r="A476" t="str">
            <v>Colorado</v>
          </cell>
        </row>
        <row r="477">
          <cell r="A477" t="str">
            <v>Colorado</v>
          </cell>
        </row>
        <row r="478">
          <cell r="A478" t="str">
            <v>Colorado</v>
          </cell>
        </row>
        <row r="479">
          <cell r="A479" t="str">
            <v>Colorado</v>
          </cell>
        </row>
        <row r="480">
          <cell r="A480" t="str">
            <v>Colorado</v>
          </cell>
        </row>
        <row r="481">
          <cell r="A481" t="str">
            <v>Colorado</v>
          </cell>
        </row>
        <row r="482">
          <cell r="A482" t="str">
            <v>Colorado</v>
          </cell>
        </row>
        <row r="483">
          <cell r="A483" t="str">
            <v>Colorado</v>
          </cell>
        </row>
        <row r="484">
          <cell r="A484" t="str">
            <v>Colorado</v>
          </cell>
        </row>
        <row r="485">
          <cell r="A485" t="str">
            <v>Colorado</v>
          </cell>
        </row>
        <row r="486">
          <cell r="A486" t="str">
            <v>Colorado</v>
          </cell>
        </row>
        <row r="487">
          <cell r="A487" t="str">
            <v>Colorado</v>
          </cell>
        </row>
        <row r="488">
          <cell r="A488" t="str">
            <v>Colorado</v>
          </cell>
        </row>
        <row r="489">
          <cell r="A489" t="str">
            <v>Colorado</v>
          </cell>
        </row>
        <row r="490">
          <cell r="A490" t="str">
            <v>Colorado</v>
          </cell>
        </row>
        <row r="491">
          <cell r="A491" t="str">
            <v>Colorado</v>
          </cell>
        </row>
        <row r="492">
          <cell r="A492" t="str">
            <v>Colorado</v>
          </cell>
        </row>
        <row r="493">
          <cell r="A493" t="str">
            <v>Colorado</v>
          </cell>
        </row>
        <row r="494">
          <cell r="A494" t="str">
            <v>Colorado</v>
          </cell>
        </row>
        <row r="495">
          <cell r="A495" t="str">
            <v>Colorado</v>
          </cell>
        </row>
        <row r="496">
          <cell r="A496" t="str">
            <v>Colorado</v>
          </cell>
        </row>
        <row r="497">
          <cell r="A497" t="str">
            <v>Colorado</v>
          </cell>
        </row>
        <row r="498">
          <cell r="A498" t="str">
            <v>Colorado</v>
          </cell>
        </row>
        <row r="499">
          <cell r="A499" t="str">
            <v>Colorado</v>
          </cell>
        </row>
        <row r="500">
          <cell r="A500" t="str">
            <v>Colorado</v>
          </cell>
        </row>
        <row r="501">
          <cell r="A501" t="str">
            <v>Colorado</v>
          </cell>
        </row>
        <row r="502">
          <cell r="A502" t="str">
            <v>Colorado</v>
          </cell>
        </row>
        <row r="503">
          <cell r="A503" t="str">
            <v>Colorado</v>
          </cell>
        </row>
        <row r="504">
          <cell r="A504" t="str">
            <v>Colorado</v>
          </cell>
        </row>
        <row r="505">
          <cell r="A505" t="str">
            <v>Colorado</v>
          </cell>
        </row>
        <row r="506">
          <cell r="A506" t="str">
            <v>Colorado</v>
          </cell>
        </row>
        <row r="507">
          <cell r="A507" t="str">
            <v>Colorado</v>
          </cell>
        </row>
        <row r="508">
          <cell r="A508" t="str">
            <v>Colorado</v>
          </cell>
        </row>
        <row r="509">
          <cell r="A509" t="str">
            <v>Colorado</v>
          </cell>
        </row>
        <row r="510">
          <cell r="A510" t="str">
            <v>Colorado</v>
          </cell>
        </row>
        <row r="511">
          <cell r="A511" t="str">
            <v>Colorado</v>
          </cell>
        </row>
        <row r="512">
          <cell r="A512" t="str">
            <v>Colorado</v>
          </cell>
        </row>
        <row r="513">
          <cell r="A513" t="str">
            <v>Colorado</v>
          </cell>
        </row>
        <row r="514">
          <cell r="A514" t="str">
            <v>Connecticut</v>
          </cell>
        </row>
        <row r="515">
          <cell r="A515" t="str">
            <v>Connecticut</v>
          </cell>
        </row>
        <row r="516">
          <cell r="A516" t="str">
            <v>Connecticut</v>
          </cell>
        </row>
        <row r="517">
          <cell r="A517" t="str">
            <v>Connecticut</v>
          </cell>
        </row>
        <row r="518">
          <cell r="A518" t="str">
            <v>Connecticut</v>
          </cell>
        </row>
        <row r="519">
          <cell r="A519" t="str">
            <v>Connecticut</v>
          </cell>
        </row>
        <row r="520">
          <cell r="A520" t="str">
            <v>Connecticut</v>
          </cell>
        </row>
        <row r="521">
          <cell r="A521" t="str">
            <v>Connecticut</v>
          </cell>
        </row>
        <row r="522">
          <cell r="A522" t="str">
            <v>Connecticut</v>
          </cell>
        </row>
        <row r="523">
          <cell r="A523" t="str">
            <v>Connecticut</v>
          </cell>
        </row>
        <row r="524">
          <cell r="A524" t="str">
            <v>DC</v>
          </cell>
        </row>
        <row r="525">
          <cell r="A525" t="str">
            <v>DC</v>
          </cell>
        </row>
        <row r="526">
          <cell r="A526" t="str">
            <v>DC</v>
          </cell>
        </row>
        <row r="527">
          <cell r="A527" t="str">
            <v>Delaware</v>
          </cell>
        </row>
        <row r="528">
          <cell r="A528" t="str">
            <v>Delaware</v>
          </cell>
        </row>
        <row r="529">
          <cell r="A529" t="str">
            <v>Delaware</v>
          </cell>
        </row>
        <row r="530">
          <cell r="A530" t="str">
            <v>Delaware</v>
          </cell>
        </row>
        <row r="531">
          <cell r="A531" t="str">
            <v>Florida</v>
          </cell>
        </row>
        <row r="532">
          <cell r="A532" t="str">
            <v>Florida</v>
          </cell>
        </row>
        <row r="533">
          <cell r="A533" t="str">
            <v>Florida</v>
          </cell>
        </row>
        <row r="534">
          <cell r="A534" t="str">
            <v>Florida</v>
          </cell>
        </row>
        <row r="535">
          <cell r="A535" t="str">
            <v>Florida</v>
          </cell>
        </row>
        <row r="536">
          <cell r="A536" t="str">
            <v>Florida</v>
          </cell>
        </row>
        <row r="537">
          <cell r="A537" t="str">
            <v>Florida</v>
          </cell>
        </row>
        <row r="538">
          <cell r="A538" t="str">
            <v>Florida</v>
          </cell>
        </row>
        <row r="539">
          <cell r="A539" t="str">
            <v>Florida</v>
          </cell>
        </row>
        <row r="540">
          <cell r="A540" t="str">
            <v>Florida</v>
          </cell>
        </row>
        <row r="541">
          <cell r="A541" t="str">
            <v>Florida</v>
          </cell>
        </row>
        <row r="542">
          <cell r="A542" t="str">
            <v>Florida</v>
          </cell>
        </row>
        <row r="543">
          <cell r="A543" t="str">
            <v>Florida</v>
          </cell>
        </row>
        <row r="544">
          <cell r="A544" t="str">
            <v>Florida</v>
          </cell>
        </row>
        <row r="545">
          <cell r="A545" t="str">
            <v>Florida</v>
          </cell>
        </row>
        <row r="546">
          <cell r="A546" t="str">
            <v>Florida</v>
          </cell>
        </row>
        <row r="547">
          <cell r="A547" t="str">
            <v>Florida</v>
          </cell>
        </row>
        <row r="548">
          <cell r="A548" t="str">
            <v>Florida</v>
          </cell>
        </row>
        <row r="549">
          <cell r="A549" t="str">
            <v>Florida</v>
          </cell>
        </row>
        <row r="550">
          <cell r="A550" t="str">
            <v>Florida</v>
          </cell>
        </row>
        <row r="551">
          <cell r="A551" t="str">
            <v>Florida</v>
          </cell>
        </row>
        <row r="552">
          <cell r="A552" t="str">
            <v>Florida</v>
          </cell>
        </row>
        <row r="553">
          <cell r="A553" t="str">
            <v>Florida</v>
          </cell>
        </row>
        <row r="554">
          <cell r="A554" t="str">
            <v>Florida</v>
          </cell>
        </row>
        <row r="555">
          <cell r="A555" t="str">
            <v>Florida</v>
          </cell>
        </row>
        <row r="556">
          <cell r="A556" t="str">
            <v>Florida</v>
          </cell>
        </row>
        <row r="557">
          <cell r="A557" t="str">
            <v>Florida</v>
          </cell>
        </row>
        <row r="558">
          <cell r="A558" t="str">
            <v>Florida</v>
          </cell>
        </row>
        <row r="559">
          <cell r="A559" t="str">
            <v>Florida</v>
          </cell>
        </row>
        <row r="560">
          <cell r="A560" t="str">
            <v>Florida</v>
          </cell>
        </row>
        <row r="561">
          <cell r="A561" t="str">
            <v>Florida</v>
          </cell>
        </row>
        <row r="562">
          <cell r="A562" t="str">
            <v>Florida</v>
          </cell>
        </row>
        <row r="563">
          <cell r="A563" t="str">
            <v>Florida</v>
          </cell>
        </row>
        <row r="564">
          <cell r="A564" t="str">
            <v>Florida</v>
          </cell>
        </row>
        <row r="565">
          <cell r="A565" t="str">
            <v>Florida</v>
          </cell>
        </row>
        <row r="566">
          <cell r="A566" t="str">
            <v>Florida</v>
          </cell>
        </row>
        <row r="567">
          <cell r="A567" t="str">
            <v>Florida</v>
          </cell>
        </row>
        <row r="568">
          <cell r="A568" t="str">
            <v>Florida</v>
          </cell>
        </row>
        <row r="569">
          <cell r="A569" t="str">
            <v>Florida</v>
          </cell>
        </row>
        <row r="570">
          <cell r="A570" t="str">
            <v>Florida</v>
          </cell>
        </row>
        <row r="571">
          <cell r="A571" t="str">
            <v>Florida</v>
          </cell>
        </row>
        <row r="572">
          <cell r="A572" t="str">
            <v>Florida</v>
          </cell>
        </row>
        <row r="573">
          <cell r="A573" t="str">
            <v>Florida</v>
          </cell>
        </row>
        <row r="574">
          <cell r="A574" t="str">
            <v>Florida</v>
          </cell>
        </row>
        <row r="575">
          <cell r="A575" t="str">
            <v>Florida</v>
          </cell>
        </row>
        <row r="576">
          <cell r="A576" t="str">
            <v>Florida</v>
          </cell>
        </row>
        <row r="577">
          <cell r="A577" t="str">
            <v>Florida</v>
          </cell>
        </row>
        <row r="578">
          <cell r="A578" t="str">
            <v>Florida</v>
          </cell>
        </row>
        <row r="579">
          <cell r="A579" t="str">
            <v>Florida</v>
          </cell>
        </row>
        <row r="580">
          <cell r="A580" t="str">
            <v>Florida</v>
          </cell>
        </row>
        <row r="581">
          <cell r="A581" t="str">
            <v>Florida</v>
          </cell>
        </row>
        <row r="582">
          <cell r="A582" t="str">
            <v>Florida</v>
          </cell>
        </row>
        <row r="583">
          <cell r="A583" t="str">
            <v>Florida</v>
          </cell>
        </row>
        <row r="584">
          <cell r="A584" t="str">
            <v>Florida</v>
          </cell>
        </row>
        <row r="585">
          <cell r="A585" t="str">
            <v>Florida</v>
          </cell>
        </row>
        <row r="586">
          <cell r="A586" t="str">
            <v>Florida</v>
          </cell>
        </row>
        <row r="587">
          <cell r="A587" t="str">
            <v>Florida</v>
          </cell>
        </row>
        <row r="588">
          <cell r="A588" t="str">
            <v>Florida</v>
          </cell>
        </row>
        <row r="589">
          <cell r="A589" t="str">
            <v>Florida</v>
          </cell>
        </row>
        <row r="590">
          <cell r="A590" t="str">
            <v>Florida</v>
          </cell>
        </row>
        <row r="591">
          <cell r="A591" t="str">
            <v>Florida</v>
          </cell>
        </row>
        <row r="592">
          <cell r="A592" t="str">
            <v>Florida</v>
          </cell>
        </row>
        <row r="593">
          <cell r="A593" t="str">
            <v>Florida</v>
          </cell>
        </row>
        <row r="594">
          <cell r="A594" t="str">
            <v>Florida</v>
          </cell>
        </row>
        <row r="595">
          <cell r="A595" t="str">
            <v>Florida</v>
          </cell>
        </row>
        <row r="596">
          <cell r="A596" t="str">
            <v>Florida</v>
          </cell>
        </row>
        <row r="597">
          <cell r="A597" t="str">
            <v>Florida</v>
          </cell>
        </row>
        <row r="598">
          <cell r="A598" t="str">
            <v>Florida</v>
          </cell>
        </row>
        <row r="599">
          <cell r="A599" t="str">
            <v>Florida</v>
          </cell>
        </row>
        <row r="600">
          <cell r="A600" t="str">
            <v>Florida</v>
          </cell>
        </row>
        <row r="601">
          <cell r="A601" t="str">
            <v>Florida</v>
          </cell>
        </row>
        <row r="602">
          <cell r="A602" t="str">
            <v>Florida</v>
          </cell>
        </row>
        <row r="603">
          <cell r="A603" t="str">
            <v>Florida</v>
          </cell>
        </row>
        <row r="604">
          <cell r="A604" t="str">
            <v>Florida</v>
          </cell>
        </row>
        <row r="605">
          <cell r="A605" t="str">
            <v>Florida</v>
          </cell>
        </row>
        <row r="606">
          <cell r="A606" t="str">
            <v>Florida</v>
          </cell>
        </row>
        <row r="607">
          <cell r="A607" t="str">
            <v>Florida</v>
          </cell>
        </row>
        <row r="608">
          <cell r="A608" t="str">
            <v>Florida</v>
          </cell>
        </row>
        <row r="609">
          <cell r="A609" t="str">
            <v>Florida</v>
          </cell>
        </row>
        <row r="610">
          <cell r="A610" t="str">
            <v>Florida</v>
          </cell>
        </row>
        <row r="611">
          <cell r="A611" t="str">
            <v>Florida</v>
          </cell>
        </row>
        <row r="612">
          <cell r="A612" t="str">
            <v>Florida</v>
          </cell>
        </row>
        <row r="613">
          <cell r="A613" t="str">
            <v>Florida</v>
          </cell>
        </row>
        <row r="614">
          <cell r="A614" t="str">
            <v>Florida</v>
          </cell>
        </row>
        <row r="615">
          <cell r="A615" t="str">
            <v>Florida</v>
          </cell>
        </row>
        <row r="616">
          <cell r="A616" t="str">
            <v>Florida</v>
          </cell>
        </row>
        <row r="617">
          <cell r="A617" t="str">
            <v>Florida</v>
          </cell>
        </row>
        <row r="618">
          <cell r="A618" t="str">
            <v>Florida</v>
          </cell>
        </row>
        <row r="619">
          <cell r="A619" t="str">
            <v>Florida</v>
          </cell>
        </row>
        <row r="620">
          <cell r="A620" t="str">
            <v>Florida</v>
          </cell>
        </row>
        <row r="621">
          <cell r="A621" t="str">
            <v>Florida</v>
          </cell>
        </row>
        <row r="622">
          <cell r="A622" t="str">
            <v>Florida</v>
          </cell>
        </row>
        <row r="623">
          <cell r="A623" t="str">
            <v>Florida</v>
          </cell>
        </row>
        <row r="624">
          <cell r="A624" t="str">
            <v>Georgia</v>
          </cell>
        </row>
        <row r="625">
          <cell r="A625" t="str">
            <v>Georgia</v>
          </cell>
        </row>
        <row r="626">
          <cell r="A626" t="str">
            <v>Georgia</v>
          </cell>
        </row>
        <row r="627">
          <cell r="A627" t="str">
            <v>Georgia</v>
          </cell>
        </row>
        <row r="628">
          <cell r="A628" t="str">
            <v>Georgia</v>
          </cell>
        </row>
        <row r="629">
          <cell r="A629" t="str">
            <v>Georgia</v>
          </cell>
        </row>
        <row r="630">
          <cell r="A630" t="str">
            <v>Georgia</v>
          </cell>
        </row>
        <row r="631">
          <cell r="A631" t="str">
            <v>Georgia</v>
          </cell>
        </row>
        <row r="632">
          <cell r="A632" t="str">
            <v>Georgia</v>
          </cell>
        </row>
        <row r="633">
          <cell r="A633" t="str">
            <v>Georgia</v>
          </cell>
        </row>
        <row r="634">
          <cell r="A634" t="str">
            <v>Georgia</v>
          </cell>
        </row>
        <row r="635">
          <cell r="A635" t="str">
            <v>Georgia</v>
          </cell>
        </row>
        <row r="636">
          <cell r="A636" t="str">
            <v>Georgia</v>
          </cell>
        </row>
        <row r="637">
          <cell r="A637" t="str">
            <v>Georgia</v>
          </cell>
        </row>
        <row r="638">
          <cell r="A638" t="str">
            <v>Georgia</v>
          </cell>
        </row>
        <row r="639">
          <cell r="A639" t="str">
            <v>Georgia</v>
          </cell>
        </row>
        <row r="640">
          <cell r="A640" t="str">
            <v>Georgia</v>
          </cell>
        </row>
        <row r="641">
          <cell r="A641" t="str">
            <v>Georgia</v>
          </cell>
        </row>
        <row r="642">
          <cell r="A642" t="str">
            <v>Georgia</v>
          </cell>
        </row>
        <row r="643">
          <cell r="A643" t="str">
            <v>Georgia</v>
          </cell>
        </row>
        <row r="644">
          <cell r="A644" t="str">
            <v>Georgia</v>
          </cell>
        </row>
        <row r="645">
          <cell r="A645" t="str">
            <v>Georgia</v>
          </cell>
        </row>
        <row r="646">
          <cell r="A646" t="str">
            <v>Georgia</v>
          </cell>
        </row>
        <row r="647">
          <cell r="A647" t="str">
            <v>Georgia</v>
          </cell>
        </row>
        <row r="648">
          <cell r="A648" t="str">
            <v>Georgia</v>
          </cell>
        </row>
        <row r="649">
          <cell r="A649" t="str">
            <v>Georgia</v>
          </cell>
        </row>
        <row r="650">
          <cell r="A650" t="str">
            <v>Georgia</v>
          </cell>
        </row>
        <row r="651">
          <cell r="A651" t="str">
            <v>Georgia</v>
          </cell>
        </row>
        <row r="652">
          <cell r="A652" t="str">
            <v>Georgia</v>
          </cell>
        </row>
        <row r="653">
          <cell r="A653" t="str">
            <v>Georgia</v>
          </cell>
        </row>
        <row r="654">
          <cell r="A654" t="str">
            <v>Georgia</v>
          </cell>
        </row>
        <row r="655">
          <cell r="A655" t="str">
            <v>Georgia</v>
          </cell>
        </row>
        <row r="656">
          <cell r="A656" t="str">
            <v>Georgia</v>
          </cell>
        </row>
        <row r="657">
          <cell r="A657" t="str">
            <v>Georgia</v>
          </cell>
        </row>
        <row r="658">
          <cell r="A658" t="str">
            <v>Georgia</v>
          </cell>
        </row>
        <row r="659">
          <cell r="A659" t="str">
            <v>Georgia</v>
          </cell>
        </row>
        <row r="660">
          <cell r="A660" t="str">
            <v>Georgia</v>
          </cell>
        </row>
        <row r="661">
          <cell r="A661" t="str">
            <v>Georgia</v>
          </cell>
        </row>
        <row r="662">
          <cell r="A662" t="str">
            <v>Georgia</v>
          </cell>
        </row>
        <row r="663">
          <cell r="A663" t="str">
            <v>Georgia</v>
          </cell>
        </row>
        <row r="664">
          <cell r="A664" t="str">
            <v>Georgia</v>
          </cell>
        </row>
        <row r="665">
          <cell r="A665" t="str">
            <v>Hawaii</v>
          </cell>
        </row>
        <row r="666">
          <cell r="A666" t="str">
            <v>Hawaii</v>
          </cell>
        </row>
        <row r="667">
          <cell r="A667" t="str">
            <v>Hawaii</v>
          </cell>
        </row>
        <row r="668">
          <cell r="A668" t="str">
            <v>Hawaii</v>
          </cell>
        </row>
        <row r="669">
          <cell r="A669" t="str">
            <v>Hawaii</v>
          </cell>
        </row>
        <row r="670">
          <cell r="A670" t="str">
            <v>Hawaii</v>
          </cell>
        </row>
        <row r="671">
          <cell r="A671" t="str">
            <v>Hawaii</v>
          </cell>
        </row>
        <row r="672">
          <cell r="A672" t="str">
            <v>Hawaii</v>
          </cell>
        </row>
        <row r="673">
          <cell r="A673" t="str">
            <v>Hawaii</v>
          </cell>
        </row>
        <row r="674">
          <cell r="A674" t="str">
            <v>Hawaii</v>
          </cell>
        </row>
        <row r="675">
          <cell r="A675" t="str">
            <v>Hawaii</v>
          </cell>
        </row>
        <row r="676">
          <cell r="A676" t="str">
            <v>Hawaii</v>
          </cell>
        </row>
        <row r="677">
          <cell r="A677" t="str">
            <v>Hawaii</v>
          </cell>
        </row>
        <row r="678">
          <cell r="A678" t="str">
            <v>Hawaii</v>
          </cell>
        </row>
        <row r="679">
          <cell r="A679" t="str">
            <v>Hawaii</v>
          </cell>
        </row>
        <row r="680">
          <cell r="A680" t="str">
            <v>Hawaii</v>
          </cell>
        </row>
        <row r="681">
          <cell r="A681" t="str">
            <v>Hawaii</v>
          </cell>
        </row>
        <row r="682">
          <cell r="A682" t="str">
            <v>Idaho</v>
          </cell>
        </row>
        <row r="683">
          <cell r="A683" t="str">
            <v>Idaho</v>
          </cell>
        </row>
        <row r="684">
          <cell r="A684" t="str">
            <v>Idaho</v>
          </cell>
        </row>
        <row r="685">
          <cell r="A685" t="str">
            <v>Idaho</v>
          </cell>
        </row>
        <row r="686">
          <cell r="A686" t="str">
            <v>Idaho</v>
          </cell>
        </row>
        <row r="687">
          <cell r="A687" t="str">
            <v>Idaho</v>
          </cell>
        </row>
        <row r="688">
          <cell r="A688" t="str">
            <v>Idaho</v>
          </cell>
        </row>
        <row r="689">
          <cell r="A689" t="str">
            <v>Idaho</v>
          </cell>
        </row>
        <row r="690">
          <cell r="A690" t="str">
            <v>Idaho</v>
          </cell>
        </row>
        <row r="691">
          <cell r="A691" t="str">
            <v>Idaho</v>
          </cell>
        </row>
        <row r="692">
          <cell r="A692" t="str">
            <v>Idaho</v>
          </cell>
        </row>
        <row r="693">
          <cell r="A693" t="str">
            <v>Idaho</v>
          </cell>
        </row>
        <row r="694">
          <cell r="A694" t="str">
            <v>Idaho</v>
          </cell>
        </row>
        <row r="695">
          <cell r="A695" t="str">
            <v>Idaho</v>
          </cell>
        </row>
        <row r="696">
          <cell r="A696" t="str">
            <v>Idaho</v>
          </cell>
        </row>
        <row r="697">
          <cell r="A697" t="str">
            <v>Idaho</v>
          </cell>
        </row>
        <row r="698">
          <cell r="A698" t="str">
            <v>Idaho</v>
          </cell>
        </row>
        <row r="699">
          <cell r="A699" t="str">
            <v>Idaho</v>
          </cell>
        </row>
        <row r="700">
          <cell r="A700" t="str">
            <v>Idaho</v>
          </cell>
        </row>
        <row r="701">
          <cell r="A701" t="str">
            <v>Illinois</v>
          </cell>
        </row>
        <row r="702">
          <cell r="A702" t="str">
            <v>Illinois</v>
          </cell>
        </row>
        <row r="703">
          <cell r="A703" t="str">
            <v>Illinois</v>
          </cell>
        </row>
        <row r="704">
          <cell r="A704" t="str">
            <v>Illinois</v>
          </cell>
        </row>
        <row r="705">
          <cell r="A705" t="str">
            <v>Illinois</v>
          </cell>
        </row>
        <row r="706">
          <cell r="A706" t="str">
            <v>Illinois</v>
          </cell>
        </row>
        <row r="707">
          <cell r="A707" t="str">
            <v>Illinois</v>
          </cell>
        </row>
        <row r="708">
          <cell r="A708" t="str">
            <v>Illinois</v>
          </cell>
        </row>
        <row r="709">
          <cell r="A709" t="str">
            <v>Illinois</v>
          </cell>
        </row>
        <row r="710">
          <cell r="A710" t="str">
            <v>Illinois</v>
          </cell>
        </row>
        <row r="711">
          <cell r="A711" t="str">
            <v>Illinois</v>
          </cell>
        </row>
        <row r="712">
          <cell r="A712" t="str">
            <v>Illinois</v>
          </cell>
        </row>
        <row r="713">
          <cell r="A713" t="str">
            <v>Illinois</v>
          </cell>
        </row>
        <row r="714">
          <cell r="A714" t="str">
            <v>Illinois</v>
          </cell>
        </row>
        <row r="715">
          <cell r="A715" t="str">
            <v>Illinois</v>
          </cell>
        </row>
        <row r="716">
          <cell r="A716" t="str">
            <v>Illinois</v>
          </cell>
        </row>
        <row r="717">
          <cell r="A717" t="str">
            <v>Illinois</v>
          </cell>
        </row>
        <row r="718">
          <cell r="A718" t="str">
            <v>Illinois</v>
          </cell>
        </row>
        <row r="719">
          <cell r="A719" t="str">
            <v>Illinois</v>
          </cell>
        </row>
        <row r="720">
          <cell r="A720" t="str">
            <v>Illinois</v>
          </cell>
        </row>
        <row r="721">
          <cell r="A721" t="str">
            <v>Illinois</v>
          </cell>
        </row>
        <row r="722">
          <cell r="A722" t="str">
            <v>Illinois</v>
          </cell>
        </row>
        <row r="723">
          <cell r="A723" t="str">
            <v>Illinois</v>
          </cell>
        </row>
        <row r="724">
          <cell r="A724" t="str">
            <v>Illinois</v>
          </cell>
        </row>
        <row r="725">
          <cell r="A725" t="str">
            <v>Illinois</v>
          </cell>
        </row>
        <row r="726">
          <cell r="A726" t="str">
            <v>Illinois</v>
          </cell>
        </row>
        <row r="727">
          <cell r="A727" t="str">
            <v>Indiana</v>
          </cell>
        </row>
        <row r="728">
          <cell r="A728" t="str">
            <v>Indiana</v>
          </cell>
        </row>
        <row r="729">
          <cell r="A729" t="str">
            <v>Indiana</v>
          </cell>
        </row>
        <row r="730">
          <cell r="A730" t="str">
            <v>Indiana</v>
          </cell>
        </row>
        <row r="731">
          <cell r="A731" t="str">
            <v>Indiana</v>
          </cell>
        </row>
        <row r="732">
          <cell r="A732" t="str">
            <v>Indiana</v>
          </cell>
        </row>
        <row r="733">
          <cell r="A733" t="str">
            <v>Indiana</v>
          </cell>
        </row>
        <row r="734">
          <cell r="A734" t="str">
            <v>Indiana</v>
          </cell>
        </row>
        <row r="735">
          <cell r="A735" t="str">
            <v>Indiana</v>
          </cell>
        </row>
        <row r="736">
          <cell r="A736" t="str">
            <v>Indiana</v>
          </cell>
        </row>
        <row r="737">
          <cell r="A737" t="str">
            <v>Indiana</v>
          </cell>
        </row>
        <row r="738">
          <cell r="A738" t="str">
            <v>Indiana</v>
          </cell>
        </row>
        <row r="739">
          <cell r="A739" t="str">
            <v>Indiana</v>
          </cell>
        </row>
        <row r="740">
          <cell r="A740" t="str">
            <v>Indiana</v>
          </cell>
        </row>
        <row r="741">
          <cell r="A741" t="str">
            <v>Indiana</v>
          </cell>
        </row>
        <row r="742">
          <cell r="A742" t="str">
            <v>Indiana</v>
          </cell>
        </row>
        <row r="743">
          <cell r="A743" t="str">
            <v>Indiana</v>
          </cell>
        </row>
        <row r="744">
          <cell r="A744" t="str">
            <v>Indiana</v>
          </cell>
        </row>
        <row r="745">
          <cell r="A745" t="str">
            <v>Indiana</v>
          </cell>
        </row>
        <row r="746">
          <cell r="A746" t="str">
            <v>Indiana</v>
          </cell>
        </row>
        <row r="747">
          <cell r="A747" t="str">
            <v>Indiana</v>
          </cell>
        </row>
        <row r="748">
          <cell r="A748" t="str">
            <v>Indiana</v>
          </cell>
        </row>
        <row r="749">
          <cell r="A749" t="str">
            <v>Indiana</v>
          </cell>
        </row>
        <row r="750">
          <cell r="A750" t="str">
            <v>Indiana</v>
          </cell>
        </row>
        <row r="751">
          <cell r="A751" t="str">
            <v>Indiana</v>
          </cell>
        </row>
        <row r="752">
          <cell r="A752" t="str">
            <v>Indiana</v>
          </cell>
        </row>
        <row r="753">
          <cell r="A753" t="str">
            <v>Indiana</v>
          </cell>
        </row>
        <row r="754">
          <cell r="A754" t="str">
            <v>Indiana</v>
          </cell>
        </row>
        <row r="755">
          <cell r="A755" t="str">
            <v>Indiana</v>
          </cell>
        </row>
        <row r="756">
          <cell r="A756" t="str">
            <v>Iowa</v>
          </cell>
        </row>
        <row r="757">
          <cell r="A757" t="str">
            <v>Iowa</v>
          </cell>
        </row>
        <row r="758">
          <cell r="A758" t="str">
            <v>Iowa</v>
          </cell>
        </row>
        <row r="759">
          <cell r="A759" t="str">
            <v>Iowa</v>
          </cell>
        </row>
        <row r="760">
          <cell r="A760" t="str">
            <v>Iowa</v>
          </cell>
        </row>
        <row r="761">
          <cell r="A761" t="str">
            <v>Iowa</v>
          </cell>
        </row>
        <row r="762">
          <cell r="A762" t="str">
            <v>Iowa</v>
          </cell>
        </row>
        <row r="763">
          <cell r="A763" t="str">
            <v>Iowa</v>
          </cell>
        </row>
        <row r="764">
          <cell r="A764" t="str">
            <v>Iowa</v>
          </cell>
        </row>
        <row r="765">
          <cell r="A765" t="str">
            <v>Iowa</v>
          </cell>
        </row>
        <row r="766">
          <cell r="A766" t="str">
            <v>Iowa</v>
          </cell>
        </row>
        <row r="767">
          <cell r="A767" t="str">
            <v>Iowa</v>
          </cell>
        </row>
        <row r="768">
          <cell r="A768" t="str">
            <v>Iowa</v>
          </cell>
        </row>
        <row r="769">
          <cell r="A769" t="str">
            <v>Iowa</v>
          </cell>
        </row>
        <row r="770">
          <cell r="A770" t="str">
            <v>Iowa</v>
          </cell>
        </row>
        <row r="771">
          <cell r="A771" t="str">
            <v>Iowa</v>
          </cell>
        </row>
        <row r="772">
          <cell r="A772" t="str">
            <v>Iowa</v>
          </cell>
        </row>
        <row r="773">
          <cell r="A773" t="str">
            <v>Iowa</v>
          </cell>
        </row>
        <row r="774">
          <cell r="A774" t="str">
            <v>Iowa</v>
          </cell>
        </row>
        <row r="775">
          <cell r="A775" t="str">
            <v>Iowa</v>
          </cell>
        </row>
        <row r="776">
          <cell r="A776" t="str">
            <v>Iowa</v>
          </cell>
        </row>
        <row r="777">
          <cell r="A777" t="str">
            <v>Iowa</v>
          </cell>
        </row>
        <row r="778">
          <cell r="A778" t="str">
            <v>Iowa</v>
          </cell>
        </row>
        <row r="779">
          <cell r="A779" t="str">
            <v>Iowa</v>
          </cell>
        </row>
        <row r="780">
          <cell r="A780" t="str">
            <v>Iowa</v>
          </cell>
        </row>
        <row r="781">
          <cell r="A781" t="str">
            <v>Iowa</v>
          </cell>
        </row>
        <row r="782">
          <cell r="A782" t="str">
            <v>Iowa</v>
          </cell>
        </row>
        <row r="783">
          <cell r="A783" t="str">
            <v>Iowa</v>
          </cell>
        </row>
        <row r="784">
          <cell r="A784" t="str">
            <v>Iowa</v>
          </cell>
        </row>
        <row r="785">
          <cell r="A785" t="str">
            <v>Iowa</v>
          </cell>
        </row>
        <row r="786">
          <cell r="A786" t="str">
            <v>Iowa</v>
          </cell>
        </row>
        <row r="787">
          <cell r="A787" t="str">
            <v>Iowa</v>
          </cell>
        </row>
        <row r="788">
          <cell r="A788" t="str">
            <v>Iowa</v>
          </cell>
        </row>
        <row r="789">
          <cell r="A789" t="str">
            <v>Iowa</v>
          </cell>
        </row>
        <row r="790">
          <cell r="A790" t="str">
            <v>Iowa</v>
          </cell>
        </row>
        <row r="791">
          <cell r="A791" t="str">
            <v>Iowa</v>
          </cell>
        </row>
        <row r="792">
          <cell r="A792" t="str">
            <v>Iowa</v>
          </cell>
        </row>
        <row r="793">
          <cell r="A793" t="str">
            <v>Iowa</v>
          </cell>
        </row>
        <row r="794">
          <cell r="A794" t="str">
            <v>Iowa</v>
          </cell>
        </row>
        <row r="795">
          <cell r="A795" t="str">
            <v>Iowa</v>
          </cell>
        </row>
        <row r="796">
          <cell r="A796" t="str">
            <v>Iowa</v>
          </cell>
        </row>
        <row r="797">
          <cell r="A797" t="str">
            <v>Iowa</v>
          </cell>
        </row>
        <row r="798">
          <cell r="A798" t="str">
            <v>Iowa</v>
          </cell>
        </row>
        <row r="799">
          <cell r="A799" t="str">
            <v>Iowa</v>
          </cell>
        </row>
        <row r="800">
          <cell r="A800" t="str">
            <v>Iowa</v>
          </cell>
        </row>
        <row r="801">
          <cell r="A801" t="str">
            <v>Iowa</v>
          </cell>
        </row>
        <row r="802">
          <cell r="A802" t="str">
            <v>Iowa</v>
          </cell>
        </row>
        <row r="803">
          <cell r="A803" t="str">
            <v>Kansas</v>
          </cell>
        </row>
        <row r="804">
          <cell r="A804" t="str">
            <v>Kansas</v>
          </cell>
        </row>
        <row r="805">
          <cell r="A805" t="str">
            <v>Kansas</v>
          </cell>
        </row>
        <row r="806">
          <cell r="A806" t="str">
            <v>Kansas</v>
          </cell>
        </row>
        <row r="807">
          <cell r="A807" t="str">
            <v>Kansas</v>
          </cell>
        </row>
        <row r="808">
          <cell r="A808" t="str">
            <v>Kansas</v>
          </cell>
        </row>
        <row r="809">
          <cell r="A809" t="str">
            <v>Kansas</v>
          </cell>
        </row>
        <row r="810">
          <cell r="A810" t="str">
            <v>Kansas</v>
          </cell>
        </row>
        <row r="811">
          <cell r="A811" t="str">
            <v>Kansas</v>
          </cell>
        </row>
        <row r="812">
          <cell r="A812" t="str">
            <v>Kansas</v>
          </cell>
        </row>
        <row r="813">
          <cell r="A813" t="str">
            <v>Kansas</v>
          </cell>
        </row>
        <row r="814">
          <cell r="A814" t="str">
            <v>Kansas</v>
          </cell>
        </row>
        <row r="815">
          <cell r="A815" t="str">
            <v>Kansas</v>
          </cell>
        </row>
        <row r="816">
          <cell r="A816" t="str">
            <v>Kansas</v>
          </cell>
        </row>
        <row r="817">
          <cell r="A817" t="str">
            <v>Kansas</v>
          </cell>
        </row>
        <row r="818">
          <cell r="A818" t="str">
            <v>Kansas</v>
          </cell>
        </row>
        <row r="819">
          <cell r="A819" t="str">
            <v>Kansas</v>
          </cell>
        </row>
        <row r="820">
          <cell r="A820" t="str">
            <v>Kansas</v>
          </cell>
        </row>
        <row r="821">
          <cell r="A821" t="str">
            <v>Kansas</v>
          </cell>
        </row>
        <row r="822">
          <cell r="A822" t="str">
            <v>Kansas</v>
          </cell>
        </row>
        <row r="823">
          <cell r="A823" t="str">
            <v>Kansas</v>
          </cell>
        </row>
        <row r="824">
          <cell r="A824" t="str">
            <v>Kansas</v>
          </cell>
        </row>
        <row r="825">
          <cell r="A825" t="str">
            <v>Kansas</v>
          </cell>
        </row>
        <row r="826">
          <cell r="A826" t="str">
            <v>Kansas</v>
          </cell>
        </row>
        <row r="827">
          <cell r="A827" t="str">
            <v>Kansas</v>
          </cell>
        </row>
        <row r="828">
          <cell r="A828" t="str">
            <v>Kansas</v>
          </cell>
        </row>
        <row r="829">
          <cell r="A829" t="str">
            <v>Kansas</v>
          </cell>
        </row>
        <row r="830">
          <cell r="A830" t="str">
            <v>Kansas</v>
          </cell>
        </row>
        <row r="831">
          <cell r="A831" t="str">
            <v>Kansas</v>
          </cell>
        </row>
        <row r="832">
          <cell r="A832" t="str">
            <v>Kansas</v>
          </cell>
        </row>
        <row r="833">
          <cell r="A833" t="str">
            <v>Kansas</v>
          </cell>
        </row>
        <row r="834">
          <cell r="A834" t="str">
            <v>Kansas</v>
          </cell>
        </row>
        <row r="835">
          <cell r="A835" t="str">
            <v>Kansas</v>
          </cell>
        </row>
        <row r="836">
          <cell r="A836" t="str">
            <v>Kansas</v>
          </cell>
        </row>
        <row r="837">
          <cell r="A837" t="str">
            <v>Kansas</v>
          </cell>
        </row>
        <row r="838">
          <cell r="A838" t="str">
            <v>Kansas</v>
          </cell>
        </row>
        <row r="839">
          <cell r="A839" t="str">
            <v>Kansas</v>
          </cell>
        </row>
        <row r="840">
          <cell r="A840" t="str">
            <v>Kansas</v>
          </cell>
        </row>
        <row r="841">
          <cell r="A841" t="str">
            <v>Kansas</v>
          </cell>
        </row>
        <row r="842">
          <cell r="A842" t="str">
            <v>Kansas</v>
          </cell>
        </row>
        <row r="843">
          <cell r="A843" t="str">
            <v>Kansas</v>
          </cell>
        </row>
        <row r="844">
          <cell r="A844" t="str">
            <v>Kansas</v>
          </cell>
        </row>
        <row r="845">
          <cell r="A845" t="str">
            <v>Kansas</v>
          </cell>
        </row>
        <row r="846">
          <cell r="A846" t="str">
            <v>Kansas</v>
          </cell>
        </row>
        <row r="847">
          <cell r="A847" t="str">
            <v>Kansas</v>
          </cell>
        </row>
        <row r="848">
          <cell r="A848" t="str">
            <v>Kansas</v>
          </cell>
        </row>
        <row r="849">
          <cell r="A849" t="str">
            <v>Kansas</v>
          </cell>
        </row>
        <row r="850">
          <cell r="A850" t="str">
            <v>Kansas</v>
          </cell>
        </row>
        <row r="851">
          <cell r="A851" t="str">
            <v>Kansas</v>
          </cell>
        </row>
        <row r="852">
          <cell r="A852" t="str">
            <v>Kansas</v>
          </cell>
        </row>
        <row r="853">
          <cell r="A853" t="str">
            <v>Kansas</v>
          </cell>
        </row>
        <row r="854">
          <cell r="A854" t="str">
            <v>Kansas</v>
          </cell>
        </row>
        <row r="855">
          <cell r="A855" t="str">
            <v>Kansas</v>
          </cell>
        </row>
        <row r="856">
          <cell r="A856" t="str">
            <v>Kansas</v>
          </cell>
        </row>
        <row r="857">
          <cell r="A857" t="str">
            <v>Kansas</v>
          </cell>
        </row>
        <row r="858">
          <cell r="A858" t="str">
            <v>Kansas</v>
          </cell>
        </row>
        <row r="859">
          <cell r="A859" t="str">
            <v>Kansas</v>
          </cell>
        </row>
        <row r="860">
          <cell r="A860" t="str">
            <v>Kansas</v>
          </cell>
        </row>
        <row r="861">
          <cell r="A861" t="str">
            <v>Kentucky</v>
          </cell>
        </row>
        <row r="862">
          <cell r="A862" t="str">
            <v>Kentucky</v>
          </cell>
        </row>
        <row r="863">
          <cell r="A863" t="str">
            <v>Kentucky</v>
          </cell>
        </row>
        <row r="864">
          <cell r="A864" t="str">
            <v>Kentucky</v>
          </cell>
        </row>
        <row r="865">
          <cell r="A865" t="str">
            <v>Kentucky</v>
          </cell>
        </row>
        <row r="866">
          <cell r="A866" t="str">
            <v>Kentucky</v>
          </cell>
        </row>
        <row r="867">
          <cell r="A867" t="str">
            <v>Kentucky</v>
          </cell>
        </row>
        <row r="868">
          <cell r="A868" t="str">
            <v>Kentucky</v>
          </cell>
        </row>
        <row r="869">
          <cell r="A869" t="str">
            <v>Kentucky</v>
          </cell>
        </row>
        <row r="870">
          <cell r="A870" t="str">
            <v>Kentucky</v>
          </cell>
        </row>
        <row r="871">
          <cell r="A871" t="str">
            <v>Kentucky</v>
          </cell>
        </row>
        <row r="872">
          <cell r="A872" t="str">
            <v>Kentucky</v>
          </cell>
        </row>
        <row r="873">
          <cell r="A873" t="str">
            <v>Kentucky</v>
          </cell>
        </row>
        <row r="874">
          <cell r="A874" t="str">
            <v>Kentucky</v>
          </cell>
        </row>
        <row r="875">
          <cell r="A875" t="str">
            <v>Kentucky</v>
          </cell>
        </row>
        <row r="876">
          <cell r="A876" t="str">
            <v>Kentucky</v>
          </cell>
        </row>
        <row r="877">
          <cell r="A877" t="str">
            <v>Kentucky</v>
          </cell>
        </row>
        <row r="878">
          <cell r="A878" t="str">
            <v>Kentucky</v>
          </cell>
        </row>
        <row r="879">
          <cell r="A879" t="str">
            <v>Kentucky</v>
          </cell>
        </row>
        <row r="880">
          <cell r="A880" t="str">
            <v>Kentucky</v>
          </cell>
        </row>
        <row r="881">
          <cell r="A881" t="str">
            <v>Kentucky</v>
          </cell>
        </row>
        <row r="882">
          <cell r="A882" t="str">
            <v>Kentucky</v>
          </cell>
        </row>
        <row r="883">
          <cell r="A883" t="str">
            <v>Kentucky</v>
          </cell>
        </row>
        <row r="884">
          <cell r="A884" t="str">
            <v>Kentucky</v>
          </cell>
        </row>
        <row r="885">
          <cell r="A885" t="str">
            <v>Louisiana</v>
          </cell>
        </row>
        <row r="886">
          <cell r="A886" t="str">
            <v>Louisiana</v>
          </cell>
        </row>
        <row r="887">
          <cell r="A887" t="str">
            <v>Louisiana</v>
          </cell>
        </row>
        <row r="888">
          <cell r="A888" t="str">
            <v>Louisiana</v>
          </cell>
        </row>
        <row r="889">
          <cell r="A889" t="str">
            <v>Louisiana</v>
          </cell>
        </row>
        <row r="890">
          <cell r="A890" t="str">
            <v>Louisiana</v>
          </cell>
        </row>
        <row r="891">
          <cell r="A891" t="str">
            <v>Louisiana</v>
          </cell>
        </row>
        <row r="892">
          <cell r="A892" t="str">
            <v>Louisiana</v>
          </cell>
        </row>
        <row r="893">
          <cell r="A893" t="str">
            <v>Louisiana</v>
          </cell>
        </row>
        <row r="894">
          <cell r="A894" t="str">
            <v>Louisiana</v>
          </cell>
        </row>
        <row r="895">
          <cell r="A895" t="str">
            <v>Louisiana</v>
          </cell>
        </row>
        <row r="896">
          <cell r="A896" t="str">
            <v>Louisiana</v>
          </cell>
        </row>
        <row r="897">
          <cell r="A897" t="str">
            <v>Louisiana</v>
          </cell>
        </row>
        <row r="898">
          <cell r="A898" t="str">
            <v>Louisiana</v>
          </cell>
        </row>
        <row r="899">
          <cell r="A899" t="str">
            <v>Louisiana</v>
          </cell>
        </row>
        <row r="900">
          <cell r="A900" t="str">
            <v>Louisiana</v>
          </cell>
        </row>
        <row r="901">
          <cell r="A901" t="str">
            <v>Louisiana</v>
          </cell>
        </row>
        <row r="902">
          <cell r="A902" t="str">
            <v>Louisiana</v>
          </cell>
        </row>
        <row r="903">
          <cell r="A903" t="str">
            <v>Maine</v>
          </cell>
        </row>
        <row r="904">
          <cell r="A904" t="str">
            <v>Maine</v>
          </cell>
        </row>
        <row r="905">
          <cell r="A905" t="str">
            <v>Maine</v>
          </cell>
        </row>
        <row r="906">
          <cell r="A906" t="str">
            <v>Maine</v>
          </cell>
        </row>
        <row r="907">
          <cell r="A907" t="str">
            <v>Maine</v>
          </cell>
        </row>
        <row r="908">
          <cell r="A908" t="str">
            <v>Maine</v>
          </cell>
        </row>
        <row r="909">
          <cell r="A909" t="str">
            <v>Maine</v>
          </cell>
        </row>
        <row r="910">
          <cell r="A910" t="str">
            <v>Maine</v>
          </cell>
        </row>
        <row r="911">
          <cell r="A911" t="str">
            <v>Maine</v>
          </cell>
        </row>
        <row r="912">
          <cell r="A912" t="str">
            <v>Maine</v>
          </cell>
        </row>
        <row r="913">
          <cell r="A913" t="str">
            <v>Maine</v>
          </cell>
        </row>
        <row r="914">
          <cell r="A914" t="str">
            <v>Maine</v>
          </cell>
        </row>
        <row r="915">
          <cell r="A915" t="str">
            <v>Maine</v>
          </cell>
        </row>
        <row r="916">
          <cell r="A916" t="str">
            <v>Maine</v>
          </cell>
        </row>
        <row r="917">
          <cell r="A917" t="str">
            <v>Maine</v>
          </cell>
        </row>
        <row r="918">
          <cell r="A918" t="str">
            <v>Maine</v>
          </cell>
        </row>
        <row r="919">
          <cell r="A919" t="str">
            <v>Maine</v>
          </cell>
        </row>
        <row r="920">
          <cell r="A920" t="str">
            <v>Maine</v>
          </cell>
        </row>
        <row r="921">
          <cell r="A921" t="str">
            <v>Maine</v>
          </cell>
        </row>
        <row r="922">
          <cell r="A922" t="str">
            <v>Maine</v>
          </cell>
        </row>
        <row r="923">
          <cell r="A923" t="str">
            <v>Maine</v>
          </cell>
        </row>
        <row r="924">
          <cell r="A924" t="str">
            <v>Maine</v>
          </cell>
        </row>
        <row r="925">
          <cell r="A925" t="str">
            <v>Maine</v>
          </cell>
        </row>
        <row r="926">
          <cell r="A926" t="str">
            <v>Maryland</v>
          </cell>
        </row>
        <row r="927">
          <cell r="A927" t="str">
            <v>Maryland</v>
          </cell>
        </row>
        <row r="928">
          <cell r="A928" t="str">
            <v>Maryland</v>
          </cell>
        </row>
        <row r="929">
          <cell r="A929" t="str">
            <v>Maryland</v>
          </cell>
        </row>
        <row r="930">
          <cell r="A930" t="str">
            <v>Maryland</v>
          </cell>
        </row>
        <row r="931">
          <cell r="A931" t="str">
            <v>Maryland</v>
          </cell>
        </row>
        <row r="932">
          <cell r="A932" t="str">
            <v>Maryland</v>
          </cell>
        </row>
        <row r="933">
          <cell r="A933" t="str">
            <v>Maryland</v>
          </cell>
        </row>
        <row r="934">
          <cell r="A934" t="str">
            <v>Maryland</v>
          </cell>
        </row>
        <row r="935">
          <cell r="A935" t="str">
            <v>Maryland</v>
          </cell>
        </row>
        <row r="936">
          <cell r="A936" t="str">
            <v>Maryland</v>
          </cell>
        </row>
        <row r="937">
          <cell r="A937" t="str">
            <v>Maryland</v>
          </cell>
        </row>
        <row r="938">
          <cell r="A938" t="str">
            <v>Maryland</v>
          </cell>
        </row>
        <row r="939">
          <cell r="A939" t="str">
            <v>Maryland</v>
          </cell>
        </row>
        <row r="940">
          <cell r="A940" t="str">
            <v>Maryland</v>
          </cell>
        </row>
        <row r="941">
          <cell r="A941" t="str">
            <v>Maryland</v>
          </cell>
        </row>
        <row r="942">
          <cell r="A942" t="str">
            <v>Maryland</v>
          </cell>
        </row>
        <row r="943">
          <cell r="A943" t="str">
            <v>Maryland</v>
          </cell>
        </row>
        <row r="944">
          <cell r="A944" t="str">
            <v>Maryland</v>
          </cell>
        </row>
        <row r="945">
          <cell r="A945" t="str">
            <v>Maryland</v>
          </cell>
        </row>
        <row r="946">
          <cell r="A946" t="str">
            <v>Massachusetts</v>
          </cell>
        </row>
        <row r="947">
          <cell r="A947" t="str">
            <v>Massachusetts</v>
          </cell>
        </row>
        <row r="948">
          <cell r="A948" t="str">
            <v>Massachusetts</v>
          </cell>
        </row>
        <row r="949">
          <cell r="A949" t="str">
            <v>Massachusetts</v>
          </cell>
        </row>
        <row r="950">
          <cell r="A950" t="str">
            <v>Massachusetts</v>
          </cell>
        </row>
        <row r="951">
          <cell r="A951" t="str">
            <v>Massachusetts</v>
          </cell>
        </row>
        <row r="952">
          <cell r="A952" t="str">
            <v>Massachusetts</v>
          </cell>
        </row>
        <row r="953">
          <cell r="A953" t="str">
            <v>Massachusetts</v>
          </cell>
        </row>
        <row r="954">
          <cell r="A954" t="str">
            <v>Massachusetts</v>
          </cell>
        </row>
        <row r="955">
          <cell r="A955" t="str">
            <v>Massachusetts</v>
          </cell>
        </row>
        <row r="956">
          <cell r="A956" t="str">
            <v>Massachusetts</v>
          </cell>
        </row>
        <row r="957">
          <cell r="A957" t="str">
            <v>Massachusetts</v>
          </cell>
        </row>
        <row r="958">
          <cell r="A958" t="str">
            <v>Massachusetts</v>
          </cell>
        </row>
        <row r="959">
          <cell r="A959" t="str">
            <v>Massachusetts</v>
          </cell>
        </row>
        <row r="960">
          <cell r="A960" t="str">
            <v>Massachusetts</v>
          </cell>
        </row>
        <row r="961">
          <cell r="A961" t="str">
            <v>Massachusetts</v>
          </cell>
        </row>
        <row r="962">
          <cell r="A962" t="str">
            <v>Massachusetts</v>
          </cell>
        </row>
        <row r="963">
          <cell r="A963" t="str">
            <v>Massachusetts</v>
          </cell>
        </row>
        <row r="964">
          <cell r="A964" t="str">
            <v>Massachusetts</v>
          </cell>
        </row>
        <row r="965">
          <cell r="A965" t="str">
            <v>Massachusetts</v>
          </cell>
        </row>
        <row r="966">
          <cell r="A966" t="str">
            <v>Massachusetts</v>
          </cell>
        </row>
        <row r="967">
          <cell r="A967" t="str">
            <v>Massachusetts</v>
          </cell>
        </row>
        <row r="968">
          <cell r="A968" t="str">
            <v>Massachusetts</v>
          </cell>
        </row>
        <row r="969">
          <cell r="A969" t="str">
            <v>Massachusetts</v>
          </cell>
        </row>
        <row r="970">
          <cell r="A970" t="str">
            <v>Michigan</v>
          </cell>
        </row>
        <row r="971">
          <cell r="A971" t="str">
            <v>Michigan</v>
          </cell>
        </row>
        <row r="972">
          <cell r="A972" t="str">
            <v>Michigan</v>
          </cell>
        </row>
        <row r="973">
          <cell r="A973" t="str">
            <v>Michigan</v>
          </cell>
        </row>
        <row r="974">
          <cell r="A974" t="str">
            <v>Michigan</v>
          </cell>
        </row>
        <row r="975">
          <cell r="A975" t="str">
            <v>Michigan</v>
          </cell>
        </row>
        <row r="976">
          <cell r="A976" t="str">
            <v>Michigan</v>
          </cell>
        </row>
        <row r="977">
          <cell r="A977" t="str">
            <v>Michigan</v>
          </cell>
        </row>
        <row r="978">
          <cell r="A978" t="str">
            <v>Michigan</v>
          </cell>
        </row>
        <row r="979">
          <cell r="A979" t="str">
            <v>Michigan</v>
          </cell>
        </row>
        <row r="980">
          <cell r="A980" t="str">
            <v>Michigan</v>
          </cell>
        </row>
        <row r="981">
          <cell r="A981" t="str">
            <v>Michigan</v>
          </cell>
        </row>
        <row r="982">
          <cell r="A982" t="str">
            <v>Michigan</v>
          </cell>
        </row>
        <row r="983">
          <cell r="A983" t="str">
            <v>Michigan</v>
          </cell>
        </row>
        <row r="984">
          <cell r="A984" t="str">
            <v>Michigan</v>
          </cell>
        </row>
        <row r="985">
          <cell r="A985" t="str">
            <v>Michigan</v>
          </cell>
        </row>
        <row r="986">
          <cell r="A986" t="str">
            <v>Michigan</v>
          </cell>
        </row>
        <row r="987">
          <cell r="A987" t="str">
            <v>Michigan</v>
          </cell>
        </row>
        <row r="988">
          <cell r="A988" t="str">
            <v>Michigan</v>
          </cell>
        </row>
        <row r="989">
          <cell r="A989" t="str">
            <v>Michigan</v>
          </cell>
        </row>
        <row r="990">
          <cell r="A990" t="str">
            <v>Michigan</v>
          </cell>
        </row>
        <row r="991">
          <cell r="A991" t="str">
            <v>Michigan</v>
          </cell>
        </row>
        <row r="992">
          <cell r="A992" t="str">
            <v>Michigan</v>
          </cell>
        </row>
        <row r="993">
          <cell r="A993" t="str">
            <v>Michigan</v>
          </cell>
        </row>
        <row r="994">
          <cell r="A994" t="str">
            <v>Michigan</v>
          </cell>
        </row>
        <row r="995">
          <cell r="A995" t="str">
            <v>Michigan</v>
          </cell>
        </row>
        <row r="996">
          <cell r="A996" t="str">
            <v>Michigan</v>
          </cell>
        </row>
        <row r="997">
          <cell r="A997" t="str">
            <v>Michigan</v>
          </cell>
        </row>
        <row r="998">
          <cell r="A998" t="str">
            <v>Michigan</v>
          </cell>
        </row>
        <row r="999">
          <cell r="A999" t="str">
            <v>Michigan</v>
          </cell>
        </row>
        <row r="1000">
          <cell r="A1000" t="str">
            <v>Michigan</v>
          </cell>
        </row>
        <row r="1001">
          <cell r="A1001" t="str">
            <v>Michigan</v>
          </cell>
        </row>
        <row r="1002">
          <cell r="A1002" t="str">
            <v>Michigan</v>
          </cell>
        </row>
        <row r="1003">
          <cell r="A1003" t="str">
            <v>Minnesota</v>
          </cell>
        </row>
        <row r="1004">
          <cell r="A1004" t="str">
            <v>Minnesota</v>
          </cell>
        </row>
        <row r="1005">
          <cell r="A1005" t="str">
            <v>Minnesota</v>
          </cell>
        </row>
        <row r="1006">
          <cell r="A1006" t="str">
            <v>Minnesota</v>
          </cell>
        </row>
        <row r="1007">
          <cell r="A1007" t="str">
            <v>Minnesota</v>
          </cell>
        </row>
        <row r="1008">
          <cell r="A1008" t="str">
            <v>Minnesota</v>
          </cell>
        </row>
        <row r="1009">
          <cell r="A1009" t="str">
            <v>Minnesota</v>
          </cell>
        </row>
        <row r="1010">
          <cell r="A1010" t="str">
            <v>Minnesota</v>
          </cell>
        </row>
        <row r="1011">
          <cell r="A1011" t="str">
            <v>Minnesota</v>
          </cell>
        </row>
        <row r="1012">
          <cell r="A1012" t="str">
            <v>Minnesota</v>
          </cell>
        </row>
        <row r="1013">
          <cell r="A1013" t="str">
            <v>Minnesota</v>
          </cell>
        </row>
        <row r="1014">
          <cell r="A1014" t="str">
            <v>Minnesota</v>
          </cell>
        </row>
        <row r="1015">
          <cell r="A1015" t="str">
            <v>Minnesota</v>
          </cell>
        </row>
        <row r="1016">
          <cell r="A1016" t="str">
            <v>Minnesota</v>
          </cell>
        </row>
        <row r="1017">
          <cell r="A1017" t="str">
            <v>Minnesota</v>
          </cell>
        </row>
        <row r="1018">
          <cell r="A1018" t="str">
            <v>Minnesota</v>
          </cell>
        </row>
        <row r="1019">
          <cell r="A1019" t="str">
            <v>Minnesota</v>
          </cell>
        </row>
        <row r="1020">
          <cell r="A1020" t="str">
            <v>Minnesota</v>
          </cell>
        </row>
        <row r="1021">
          <cell r="A1021" t="str">
            <v>Minnesota</v>
          </cell>
        </row>
        <row r="1022">
          <cell r="A1022" t="str">
            <v>Minnesota</v>
          </cell>
        </row>
        <row r="1023">
          <cell r="A1023" t="str">
            <v>Minnesota</v>
          </cell>
        </row>
        <row r="1024">
          <cell r="A1024" t="str">
            <v>Minnesota</v>
          </cell>
        </row>
        <row r="1025">
          <cell r="A1025" t="str">
            <v>Minnesota</v>
          </cell>
        </row>
        <row r="1026">
          <cell r="A1026" t="str">
            <v>Minnesota</v>
          </cell>
        </row>
        <row r="1027">
          <cell r="A1027" t="str">
            <v>Minnesota</v>
          </cell>
        </row>
        <row r="1028">
          <cell r="A1028" t="str">
            <v>Minnesota</v>
          </cell>
        </row>
        <row r="1029">
          <cell r="A1029" t="str">
            <v>Minnesota</v>
          </cell>
        </row>
        <row r="1030">
          <cell r="A1030" t="str">
            <v>Minnesota</v>
          </cell>
        </row>
        <row r="1031">
          <cell r="A1031" t="str">
            <v>Minnesota</v>
          </cell>
        </row>
        <row r="1032">
          <cell r="A1032" t="str">
            <v>Minnesota</v>
          </cell>
        </row>
        <row r="1033">
          <cell r="A1033" t="str">
            <v>Minnesota</v>
          </cell>
        </row>
        <row r="1034">
          <cell r="A1034" t="str">
            <v>Minnesota</v>
          </cell>
        </row>
        <row r="1035">
          <cell r="A1035" t="str">
            <v>Minnesota</v>
          </cell>
        </row>
        <row r="1036">
          <cell r="A1036" t="str">
            <v>Minnesota</v>
          </cell>
        </row>
        <row r="1037">
          <cell r="A1037" t="str">
            <v>Minnesota</v>
          </cell>
        </row>
        <row r="1038">
          <cell r="A1038" t="str">
            <v>Minnesota</v>
          </cell>
        </row>
        <row r="1039">
          <cell r="A1039" t="str">
            <v>Minnesota</v>
          </cell>
        </row>
        <row r="1040">
          <cell r="A1040" t="str">
            <v>Minnesota</v>
          </cell>
        </row>
        <row r="1041">
          <cell r="A1041" t="str">
            <v>Minnesota</v>
          </cell>
        </row>
        <row r="1042">
          <cell r="A1042" t="str">
            <v>Minnesota</v>
          </cell>
        </row>
        <row r="1043">
          <cell r="A1043" t="str">
            <v>Minnesota</v>
          </cell>
        </row>
        <row r="1044">
          <cell r="A1044" t="str">
            <v>Minnesota</v>
          </cell>
        </row>
        <row r="1045">
          <cell r="A1045" t="str">
            <v>Minnesota</v>
          </cell>
        </row>
        <row r="1046">
          <cell r="A1046" t="str">
            <v>Minnesota</v>
          </cell>
        </row>
        <row r="1047">
          <cell r="A1047" t="str">
            <v>Minnesota</v>
          </cell>
        </row>
        <row r="1048">
          <cell r="A1048" t="str">
            <v>Minnesota</v>
          </cell>
        </row>
        <row r="1049">
          <cell r="A1049" t="str">
            <v>Minnesota</v>
          </cell>
        </row>
        <row r="1050">
          <cell r="A1050" t="str">
            <v>Minnesota</v>
          </cell>
        </row>
        <row r="1051">
          <cell r="A1051" t="str">
            <v>Minnesota</v>
          </cell>
        </row>
        <row r="1052">
          <cell r="A1052" t="str">
            <v>Minnesota</v>
          </cell>
        </row>
        <row r="1053">
          <cell r="A1053" t="str">
            <v>Minnesota</v>
          </cell>
        </row>
        <row r="1054">
          <cell r="A1054" t="str">
            <v>Minnesota</v>
          </cell>
        </row>
        <row r="1055">
          <cell r="A1055" t="str">
            <v>Minnesota</v>
          </cell>
        </row>
        <row r="1056">
          <cell r="A1056" t="str">
            <v>Mississippi</v>
          </cell>
        </row>
        <row r="1057">
          <cell r="A1057" t="str">
            <v>Mississippi</v>
          </cell>
        </row>
        <row r="1058">
          <cell r="A1058" t="str">
            <v>Mississippi</v>
          </cell>
        </row>
        <row r="1059">
          <cell r="A1059" t="str">
            <v>Mississippi</v>
          </cell>
        </row>
        <row r="1060">
          <cell r="A1060" t="str">
            <v>Mississippi</v>
          </cell>
        </row>
        <row r="1061">
          <cell r="A1061" t="str">
            <v>Mississippi</v>
          </cell>
        </row>
        <row r="1062">
          <cell r="A1062" t="str">
            <v>Mississippi</v>
          </cell>
        </row>
        <row r="1063">
          <cell r="A1063" t="str">
            <v>Mississippi</v>
          </cell>
        </row>
        <row r="1064">
          <cell r="A1064" t="str">
            <v>Mississippi</v>
          </cell>
        </row>
        <row r="1065">
          <cell r="A1065" t="str">
            <v>Mississippi</v>
          </cell>
        </row>
        <row r="1066">
          <cell r="A1066" t="str">
            <v>Mississippi</v>
          </cell>
        </row>
        <row r="1067">
          <cell r="A1067" t="str">
            <v>Mississippi</v>
          </cell>
        </row>
        <row r="1068">
          <cell r="A1068" t="str">
            <v>Mississippi</v>
          </cell>
        </row>
        <row r="1069">
          <cell r="A1069" t="str">
            <v>Mississippi</v>
          </cell>
        </row>
        <row r="1070">
          <cell r="A1070" t="str">
            <v>Mississippi</v>
          </cell>
        </row>
        <row r="1071">
          <cell r="A1071" t="str">
            <v>Mississippi</v>
          </cell>
        </row>
        <row r="1072">
          <cell r="A1072" t="str">
            <v>Mississippi</v>
          </cell>
        </row>
        <row r="1073">
          <cell r="A1073" t="str">
            <v>Mississippi</v>
          </cell>
        </row>
        <row r="1074">
          <cell r="A1074" t="str">
            <v>Mississippi</v>
          </cell>
        </row>
        <row r="1075">
          <cell r="A1075" t="str">
            <v>Mississippi</v>
          </cell>
        </row>
        <row r="1076">
          <cell r="A1076" t="str">
            <v>Mississippi</v>
          </cell>
        </row>
        <row r="1077">
          <cell r="A1077" t="str">
            <v>Mississippi</v>
          </cell>
        </row>
        <row r="1078">
          <cell r="A1078" t="str">
            <v>Mississippi</v>
          </cell>
        </row>
        <row r="1079">
          <cell r="A1079" t="str">
            <v>Mississippi</v>
          </cell>
        </row>
        <row r="1080">
          <cell r="A1080" t="str">
            <v>Mississippi</v>
          </cell>
        </row>
        <row r="1081">
          <cell r="A1081" t="str">
            <v>Mississippi</v>
          </cell>
        </row>
        <row r="1082">
          <cell r="A1082" t="str">
            <v>Mississippi</v>
          </cell>
        </row>
        <row r="1083">
          <cell r="A1083" t="str">
            <v>Mississippi</v>
          </cell>
        </row>
        <row r="1084">
          <cell r="A1084" t="str">
            <v>Mississippi</v>
          </cell>
        </row>
        <row r="1085">
          <cell r="A1085" t="str">
            <v>Mississippi</v>
          </cell>
        </row>
        <row r="1086">
          <cell r="A1086" t="str">
            <v>Mississippi</v>
          </cell>
        </row>
        <row r="1087">
          <cell r="A1087" t="str">
            <v>Mississippi</v>
          </cell>
        </row>
        <row r="1088">
          <cell r="A1088" t="str">
            <v>Mississippi</v>
          </cell>
        </row>
        <row r="1089">
          <cell r="A1089" t="str">
            <v>Mississippi</v>
          </cell>
        </row>
        <row r="1090">
          <cell r="A1090" t="str">
            <v>Mississippi</v>
          </cell>
        </row>
        <row r="1091">
          <cell r="A1091" t="str">
            <v>Missouri</v>
          </cell>
        </row>
        <row r="1092">
          <cell r="A1092" t="str">
            <v>Missouri</v>
          </cell>
        </row>
        <row r="1093">
          <cell r="A1093" t="str">
            <v>Missouri</v>
          </cell>
        </row>
        <row r="1094">
          <cell r="A1094" t="str">
            <v>Missouri</v>
          </cell>
        </row>
        <row r="1095">
          <cell r="A1095" t="str">
            <v>Missouri</v>
          </cell>
        </row>
        <row r="1096">
          <cell r="A1096" t="str">
            <v>Missouri</v>
          </cell>
        </row>
        <row r="1097">
          <cell r="A1097" t="str">
            <v>Missouri</v>
          </cell>
        </row>
        <row r="1098">
          <cell r="A1098" t="str">
            <v>Missouri</v>
          </cell>
        </row>
        <row r="1099">
          <cell r="A1099" t="str">
            <v>Missouri</v>
          </cell>
        </row>
        <row r="1100">
          <cell r="A1100" t="str">
            <v>Missouri</v>
          </cell>
        </row>
        <row r="1101">
          <cell r="A1101" t="str">
            <v>Missouri</v>
          </cell>
        </row>
        <row r="1102">
          <cell r="A1102" t="str">
            <v>Missouri</v>
          </cell>
        </row>
        <row r="1103">
          <cell r="A1103" t="str">
            <v>Missouri</v>
          </cell>
        </row>
        <row r="1104">
          <cell r="A1104" t="str">
            <v>Missouri</v>
          </cell>
        </row>
        <row r="1105">
          <cell r="A1105" t="str">
            <v>Missouri</v>
          </cell>
        </row>
        <row r="1106">
          <cell r="A1106" t="str">
            <v>Missouri</v>
          </cell>
        </row>
        <row r="1107">
          <cell r="A1107" t="str">
            <v>Missouri</v>
          </cell>
        </row>
        <row r="1108">
          <cell r="A1108" t="str">
            <v>Missouri</v>
          </cell>
        </row>
        <row r="1109">
          <cell r="A1109" t="str">
            <v>Missouri</v>
          </cell>
        </row>
        <row r="1110">
          <cell r="A1110" t="str">
            <v>Missouri</v>
          </cell>
        </row>
        <row r="1111">
          <cell r="A1111" t="str">
            <v>Missouri</v>
          </cell>
        </row>
        <row r="1112">
          <cell r="A1112" t="str">
            <v>Missouri</v>
          </cell>
        </row>
        <row r="1113">
          <cell r="A1113" t="str">
            <v>Missouri</v>
          </cell>
        </row>
        <row r="1114">
          <cell r="A1114" t="str">
            <v>Missouri</v>
          </cell>
        </row>
        <row r="1115">
          <cell r="A1115" t="str">
            <v>Missouri</v>
          </cell>
        </row>
        <row r="1116">
          <cell r="A1116" t="str">
            <v>Missouri</v>
          </cell>
        </row>
        <row r="1117">
          <cell r="A1117" t="str">
            <v>Missouri</v>
          </cell>
        </row>
        <row r="1118">
          <cell r="A1118" t="str">
            <v>Missouri</v>
          </cell>
        </row>
        <row r="1119">
          <cell r="A1119" t="str">
            <v>Missouri</v>
          </cell>
        </row>
        <row r="1120">
          <cell r="A1120" t="str">
            <v>Missouri</v>
          </cell>
        </row>
        <row r="1121">
          <cell r="A1121" t="str">
            <v>Missouri</v>
          </cell>
        </row>
        <row r="1122">
          <cell r="A1122" t="str">
            <v>Missouri</v>
          </cell>
        </row>
        <row r="1123">
          <cell r="A1123" t="str">
            <v>Missouri</v>
          </cell>
        </row>
        <row r="1124">
          <cell r="A1124" t="str">
            <v>Missouri</v>
          </cell>
        </row>
        <row r="1125">
          <cell r="A1125" t="str">
            <v>Missouri</v>
          </cell>
        </row>
        <row r="1126">
          <cell r="A1126" t="str">
            <v>Montana</v>
          </cell>
        </row>
        <row r="1127">
          <cell r="A1127" t="str">
            <v>Montana</v>
          </cell>
        </row>
        <row r="1128">
          <cell r="A1128" t="str">
            <v>Montana</v>
          </cell>
        </row>
        <row r="1129">
          <cell r="A1129" t="str">
            <v>Montana</v>
          </cell>
        </row>
        <row r="1130">
          <cell r="A1130" t="str">
            <v>Montana</v>
          </cell>
        </row>
        <row r="1131">
          <cell r="A1131" t="str">
            <v>Montana</v>
          </cell>
        </row>
        <row r="1132">
          <cell r="A1132" t="str">
            <v>Montana</v>
          </cell>
        </row>
        <row r="1133">
          <cell r="A1133" t="str">
            <v>Montana</v>
          </cell>
        </row>
        <row r="1134">
          <cell r="A1134" t="str">
            <v>Montana</v>
          </cell>
        </row>
        <row r="1135">
          <cell r="A1135" t="str">
            <v>Montana</v>
          </cell>
        </row>
        <row r="1136">
          <cell r="A1136" t="str">
            <v>Montana</v>
          </cell>
        </row>
        <row r="1137">
          <cell r="A1137" t="str">
            <v>Montana</v>
          </cell>
        </row>
        <row r="1138">
          <cell r="A1138" t="str">
            <v>Montana</v>
          </cell>
        </row>
        <row r="1139">
          <cell r="A1139" t="str">
            <v>Montana</v>
          </cell>
        </row>
        <row r="1140">
          <cell r="A1140" t="str">
            <v>Montana</v>
          </cell>
        </row>
        <row r="1141">
          <cell r="A1141" t="str">
            <v>Montana</v>
          </cell>
        </row>
        <row r="1142">
          <cell r="A1142" t="str">
            <v>Montana</v>
          </cell>
        </row>
        <row r="1143">
          <cell r="A1143" t="str">
            <v>Montana</v>
          </cell>
        </row>
        <row r="1144">
          <cell r="A1144" t="str">
            <v>Montana</v>
          </cell>
        </row>
        <row r="1145">
          <cell r="A1145" t="str">
            <v>Montana</v>
          </cell>
        </row>
        <row r="1146">
          <cell r="A1146" t="str">
            <v>Montana</v>
          </cell>
        </row>
        <row r="1147">
          <cell r="A1147" t="str">
            <v>Montana</v>
          </cell>
        </row>
        <row r="1148">
          <cell r="A1148" t="str">
            <v>Montana</v>
          </cell>
        </row>
        <row r="1149">
          <cell r="A1149" t="str">
            <v>Montana</v>
          </cell>
        </row>
        <row r="1150">
          <cell r="A1150" t="str">
            <v>Montana</v>
          </cell>
        </row>
        <row r="1151">
          <cell r="A1151" t="str">
            <v>Montana</v>
          </cell>
        </row>
        <row r="1152">
          <cell r="A1152" t="str">
            <v>Montana</v>
          </cell>
        </row>
        <row r="1153">
          <cell r="A1153" t="str">
            <v>Montana</v>
          </cell>
        </row>
        <row r="1154">
          <cell r="A1154" t="str">
            <v>Montana</v>
          </cell>
        </row>
        <row r="1155">
          <cell r="A1155" t="str">
            <v>Montana</v>
          </cell>
        </row>
        <row r="1156">
          <cell r="A1156" t="str">
            <v>Nebraska</v>
          </cell>
        </row>
        <row r="1157">
          <cell r="A1157" t="str">
            <v>Nebraska</v>
          </cell>
        </row>
        <row r="1158">
          <cell r="A1158" t="str">
            <v>Nebraska</v>
          </cell>
        </row>
        <row r="1159">
          <cell r="A1159" t="str">
            <v>Nebraska</v>
          </cell>
        </row>
        <row r="1160">
          <cell r="A1160" t="str">
            <v>Nebraska</v>
          </cell>
        </row>
        <row r="1161">
          <cell r="A1161" t="str">
            <v>Nebraska</v>
          </cell>
        </row>
        <row r="1162">
          <cell r="A1162" t="str">
            <v>Nebraska</v>
          </cell>
        </row>
        <row r="1163">
          <cell r="A1163" t="str">
            <v>Nebraska</v>
          </cell>
        </row>
        <row r="1164">
          <cell r="A1164" t="str">
            <v>Nebraska</v>
          </cell>
        </row>
        <row r="1165">
          <cell r="A1165" t="str">
            <v>Nebraska</v>
          </cell>
        </row>
        <row r="1166">
          <cell r="A1166" t="str">
            <v>Nebraska</v>
          </cell>
        </row>
        <row r="1167">
          <cell r="A1167" t="str">
            <v>Nebraska</v>
          </cell>
        </row>
        <row r="1168">
          <cell r="A1168" t="str">
            <v>Nebraska</v>
          </cell>
        </row>
        <row r="1169">
          <cell r="A1169" t="str">
            <v>Nebraska</v>
          </cell>
        </row>
        <row r="1170">
          <cell r="A1170" t="str">
            <v>Nebraska</v>
          </cell>
        </row>
        <row r="1171">
          <cell r="A1171" t="str">
            <v>Nebraska</v>
          </cell>
        </row>
        <row r="1172">
          <cell r="A1172" t="str">
            <v>Nebraska</v>
          </cell>
        </row>
        <row r="1173">
          <cell r="A1173" t="str">
            <v>Nebraska</v>
          </cell>
        </row>
        <row r="1174">
          <cell r="A1174" t="str">
            <v>Nebraska</v>
          </cell>
        </row>
        <row r="1175">
          <cell r="A1175" t="str">
            <v>Nebraska</v>
          </cell>
        </row>
        <row r="1176">
          <cell r="A1176" t="str">
            <v>Nebraska</v>
          </cell>
        </row>
        <row r="1177">
          <cell r="A1177" t="str">
            <v>Nebraska</v>
          </cell>
        </row>
        <row r="1178">
          <cell r="A1178" t="str">
            <v>Nebraska</v>
          </cell>
        </row>
        <row r="1179">
          <cell r="A1179" t="str">
            <v>Nebraska</v>
          </cell>
        </row>
        <row r="1180">
          <cell r="A1180" t="str">
            <v>Nebraska</v>
          </cell>
        </row>
        <row r="1181">
          <cell r="A1181" t="str">
            <v>Nebraska</v>
          </cell>
        </row>
        <row r="1182">
          <cell r="A1182" t="str">
            <v>Nebraska</v>
          </cell>
        </row>
        <row r="1183">
          <cell r="A1183" t="str">
            <v>Nebraska</v>
          </cell>
        </row>
        <row r="1184">
          <cell r="A1184" t="str">
            <v>Nebraska</v>
          </cell>
        </row>
        <row r="1185">
          <cell r="A1185" t="str">
            <v>Nebraska</v>
          </cell>
        </row>
        <row r="1186">
          <cell r="A1186" t="str">
            <v>Nebraska</v>
          </cell>
        </row>
        <row r="1187">
          <cell r="A1187" t="str">
            <v>Nebraska</v>
          </cell>
        </row>
        <row r="1188">
          <cell r="A1188" t="str">
            <v>Nebraska</v>
          </cell>
        </row>
        <row r="1189">
          <cell r="A1189" t="str">
            <v>Nebraska</v>
          </cell>
        </row>
        <row r="1190">
          <cell r="A1190" t="str">
            <v>Nebraska</v>
          </cell>
        </row>
        <row r="1191">
          <cell r="A1191" t="str">
            <v>Nebraska</v>
          </cell>
        </row>
        <row r="1192">
          <cell r="A1192" t="str">
            <v>Nebraska</v>
          </cell>
        </row>
        <row r="1193">
          <cell r="A1193" t="str">
            <v>Nebraska</v>
          </cell>
        </row>
        <row r="1194">
          <cell r="A1194" t="str">
            <v>Nebraska</v>
          </cell>
        </row>
        <row r="1195">
          <cell r="A1195" t="str">
            <v>Nebraska</v>
          </cell>
        </row>
        <row r="1196">
          <cell r="A1196" t="str">
            <v>Nebraska</v>
          </cell>
        </row>
        <row r="1197">
          <cell r="A1197" t="str">
            <v>Nebraska</v>
          </cell>
        </row>
        <row r="1198">
          <cell r="A1198" t="str">
            <v>Nebraska</v>
          </cell>
        </row>
        <row r="1199">
          <cell r="A1199" t="str">
            <v>Nebraska</v>
          </cell>
        </row>
        <row r="1200">
          <cell r="A1200" t="str">
            <v>Nebraska</v>
          </cell>
        </row>
        <row r="1201">
          <cell r="A1201" t="str">
            <v>Nebraska</v>
          </cell>
        </row>
        <row r="1202">
          <cell r="A1202" t="str">
            <v>Nebraska</v>
          </cell>
        </row>
        <row r="1203">
          <cell r="A1203" t="str">
            <v>Nebraska</v>
          </cell>
        </row>
        <row r="1204">
          <cell r="A1204" t="str">
            <v>Nebraska</v>
          </cell>
        </row>
        <row r="1205">
          <cell r="A1205" t="str">
            <v>Nebraska</v>
          </cell>
        </row>
        <row r="1206">
          <cell r="A1206" t="str">
            <v>Nebraska</v>
          </cell>
        </row>
        <row r="1207">
          <cell r="A1207" t="str">
            <v>Nebraska</v>
          </cell>
        </row>
        <row r="1208">
          <cell r="A1208" t="str">
            <v>Nebraska</v>
          </cell>
        </row>
        <row r="1209">
          <cell r="A1209" t="str">
            <v>Nevada</v>
          </cell>
        </row>
        <row r="1210">
          <cell r="A1210" t="str">
            <v>Nevada</v>
          </cell>
        </row>
        <row r="1211">
          <cell r="A1211" t="str">
            <v>Nevada</v>
          </cell>
        </row>
        <row r="1212">
          <cell r="A1212" t="str">
            <v>Nevada</v>
          </cell>
        </row>
        <row r="1213">
          <cell r="A1213" t="str">
            <v>Nevada</v>
          </cell>
        </row>
        <row r="1214">
          <cell r="A1214" t="str">
            <v>Nevada</v>
          </cell>
        </row>
        <row r="1215">
          <cell r="A1215" t="str">
            <v>Nevada</v>
          </cell>
        </row>
        <row r="1216">
          <cell r="A1216" t="str">
            <v>Nevada</v>
          </cell>
        </row>
        <row r="1217">
          <cell r="A1217" t="str">
            <v>Nevada</v>
          </cell>
        </row>
        <row r="1218">
          <cell r="A1218" t="str">
            <v>Nevada</v>
          </cell>
        </row>
        <row r="1219">
          <cell r="A1219" t="str">
            <v>Nevada</v>
          </cell>
        </row>
        <row r="1220">
          <cell r="A1220" t="str">
            <v>Nevada</v>
          </cell>
        </row>
        <row r="1221">
          <cell r="A1221" t="str">
            <v>Nevada</v>
          </cell>
        </row>
        <row r="1222">
          <cell r="A1222" t="str">
            <v>Nevada</v>
          </cell>
        </row>
        <row r="1223">
          <cell r="A1223" t="str">
            <v>Nevada</v>
          </cell>
        </row>
        <row r="1224">
          <cell r="A1224" t="str">
            <v>Nevada</v>
          </cell>
        </row>
        <row r="1225">
          <cell r="A1225" t="str">
            <v>Nevada</v>
          </cell>
        </row>
        <row r="1226">
          <cell r="A1226" t="str">
            <v>Nevada</v>
          </cell>
        </row>
        <row r="1227">
          <cell r="A1227" t="str">
            <v>Nevada</v>
          </cell>
        </row>
        <row r="1228">
          <cell r="A1228" t="str">
            <v>Nevada</v>
          </cell>
        </row>
        <row r="1229">
          <cell r="A1229" t="str">
            <v>Nevada</v>
          </cell>
        </row>
        <row r="1230">
          <cell r="A1230" t="str">
            <v>Nevada</v>
          </cell>
        </row>
        <row r="1231">
          <cell r="A1231" t="str">
            <v>Nevada</v>
          </cell>
        </row>
        <row r="1232">
          <cell r="A1232" t="str">
            <v>New Hampshire</v>
          </cell>
        </row>
        <row r="1233">
          <cell r="A1233" t="str">
            <v>New Hampshire</v>
          </cell>
        </row>
        <row r="1234">
          <cell r="A1234" t="str">
            <v>New Hampshire</v>
          </cell>
        </row>
        <row r="1235">
          <cell r="A1235" t="str">
            <v>New Hampshire</v>
          </cell>
        </row>
        <row r="1236">
          <cell r="A1236" t="str">
            <v>New Hampshire</v>
          </cell>
        </row>
        <row r="1237">
          <cell r="A1237" t="str">
            <v>New Hampshire</v>
          </cell>
        </row>
        <row r="1238">
          <cell r="A1238" t="str">
            <v>New Hampshire</v>
          </cell>
        </row>
        <row r="1239">
          <cell r="A1239" t="str">
            <v>New Hampshire</v>
          </cell>
        </row>
        <row r="1240">
          <cell r="A1240" t="str">
            <v>New Hampshire</v>
          </cell>
        </row>
        <row r="1241">
          <cell r="A1241" t="str">
            <v>New Hampshire</v>
          </cell>
        </row>
        <row r="1242">
          <cell r="A1242" t="str">
            <v>New Hampshire</v>
          </cell>
        </row>
        <row r="1243">
          <cell r="A1243" t="str">
            <v>New Hampshire</v>
          </cell>
        </row>
        <row r="1244">
          <cell r="A1244" t="str">
            <v>New Hampshire</v>
          </cell>
        </row>
        <row r="1245">
          <cell r="A1245" t="str">
            <v>New Jersey</v>
          </cell>
        </row>
        <row r="1246">
          <cell r="A1246" t="str">
            <v>New Jersey</v>
          </cell>
        </row>
        <row r="1247">
          <cell r="A1247" t="str">
            <v>New Jersey</v>
          </cell>
        </row>
        <row r="1248">
          <cell r="A1248" t="str">
            <v>New Jersey</v>
          </cell>
        </row>
        <row r="1249">
          <cell r="A1249" t="str">
            <v>New Jersey</v>
          </cell>
        </row>
        <row r="1250">
          <cell r="A1250" t="str">
            <v>New Jersey</v>
          </cell>
        </row>
        <row r="1251">
          <cell r="A1251" t="str">
            <v>New Jersey</v>
          </cell>
        </row>
        <row r="1252">
          <cell r="A1252" t="str">
            <v>New Jersey</v>
          </cell>
        </row>
        <row r="1253">
          <cell r="A1253" t="str">
            <v>New Jersey</v>
          </cell>
        </row>
        <row r="1254">
          <cell r="A1254" t="str">
            <v>New Jersey</v>
          </cell>
        </row>
        <row r="1255">
          <cell r="A1255" t="str">
            <v>New Jersey</v>
          </cell>
        </row>
        <row r="1256">
          <cell r="A1256" t="str">
            <v>New Jersey</v>
          </cell>
        </row>
        <row r="1257">
          <cell r="A1257" t="str">
            <v>New Jersey</v>
          </cell>
        </row>
        <row r="1258">
          <cell r="A1258" t="str">
            <v>New Jersey</v>
          </cell>
        </row>
        <row r="1259">
          <cell r="A1259" t="str">
            <v>New Jersey</v>
          </cell>
        </row>
        <row r="1260">
          <cell r="A1260" t="str">
            <v>New Jersey</v>
          </cell>
        </row>
        <row r="1261">
          <cell r="A1261" t="str">
            <v>New Jersey</v>
          </cell>
        </row>
        <row r="1262">
          <cell r="A1262" t="str">
            <v>New Mexico</v>
          </cell>
        </row>
        <row r="1263">
          <cell r="A1263" t="str">
            <v>New Mexico</v>
          </cell>
        </row>
        <row r="1264">
          <cell r="A1264" t="str">
            <v>New Mexico</v>
          </cell>
        </row>
        <row r="1265">
          <cell r="A1265" t="str">
            <v>New Mexico</v>
          </cell>
        </row>
        <row r="1266">
          <cell r="A1266" t="str">
            <v>New Mexico</v>
          </cell>
        </row>
        <row r="1267">
          <cell r="A1267" t="str">
            <v>New Mexico</v>
          </cell>
        </row>
        <row r="1268">
          <cell r="A1268" t="str">
            <v>New Mexico</v>
          </cell>
        </row>
        <row r="1269">
          <cell r="A1269" t="str">
            <v>New Mexico</v>
          </cell>
        </row>
        <row r="1270">
          <cell r="A1270" t="str">
            <v>New Mexico</v>
          </cell>
        </row>
        <row r="1271">
          <cell r="A1271" t="str">
            <v>New Mexico</v>
          </cell>
        </row>
        <row r="1272">
          <cell r="A1272" t="str">
            <v>New Mexico</v>
          </cell>
        </row>
        <row r="1273">
          <cell r="A1273" t="str">
            <v>New Mexico</v>
          </cell>
        </row>
        <row r="1274">
          <cell r="A1274" t="str">
            <v>New Mexico</v>
          </cell>
        </row>
        <row r="1275">
          <cell r="A1275" t="str">
            <v>New Mexico</v>
          </cell>
        </row>
        <row r="1276">
          <cell r="A1276" t="str">
            <v>New Mexico</v>
          </cell>
        </row>
        <row r="1277">
          <cell r="A1277" t="str">
            <v>New Mexico</v>
          </cell>
        </row>
        <row r="1278">
          <cell r="A1278" t="str">
            <v>New Mexico</v>
          </cell>
        </row>
        <row r="1279">
          <cell r="A1279" t="str">
            <v>New Mexico</v>
          </cell>
        </row>
        <row r="1280">
          <cell r="A1280" t="str">
            <v>New Mexico</v>
          </cell>
        </row>
        <row r="1281">
          <cell r="A1281" t="str">
            <v>New Mexico</v>
          </cell>
        </row>
        <row r="1282">
          <cell r="A1282" t="str">
            <v>New Mexico</v>
          </cell>
        </row>
        <row r="1283">
          <cell r="A1283" t="str">
            <v>New Mexico</v>
          </cell>
        </row>
        <row r="1284">
          <cell r="A1284" t="str">
            <v>New Mexico</v>
          </cell>
        </row>
        <row r="1285">
          <cell r="A1285" t="str">
            <v>New Mexico</v>
          </cell>
        </row>
        <row r="1286">
          <cell r="A1286" t="str">
            <v>New Mexico</v>
          </cell>
        </row>
        <row r="1287">
          <cell r="A1287" t="str">
            <v>New Mexico</v>
          </cell>
        </row>
        <row r="1288">
          <cell r="A1288" t="str">
            <v>New Mexico</v>
          </cell>
        </row>
        <row r="1289">
          <cell r="A1289" t="str">
            <v>New Mexico</v>
          </cell>
        </row>
        <row r="1290">
          <cell r="A1290" t="str">
            <v>New Mexico</v>
          </cell>
        </row>
        <row r="1291">
          <cell r="A1291" t="str">
            <v>New Mexico</v>
          </cell>
        </row>
        <row r="1292">
          <cell r="A1292" t="str">
            <v>New Mexico</v>
          </cell>
        </row>
        <row r="1293">
          <cell r="A1293" t="str">
            <v>New York</v>
          </cell>
        </row>
        <row r="1294">
          <cell r="A1294" t="str">
            <v>New York</v>
          </cell>
        </row>
        <row r="1295">
          <cell r="A1295" t="str">
            <v>New York</v>
          </cell>
        </row>
        <row r="1296">
          <cell r="A1296" t="str">
            <v>New York</v>
          </cell>
        </row>
        <row r="1297">
          <cell r="A1297" t="str">
            <v>New York</v>
          </cell>
        </row>
        <row r="1298">
          <cell r="A1298" t="str">
            <v>New York</v>
          </cell>
        </row>
        <row r="1299">
          <cell r="A1299" t="str">
            <v>New York</v>
          </cell>
        </row>
        <row r="1300">
          <cell r="A1300" t="str">
            <v>New York</v>
          </cell>
        </row>
        <row r="1301">
          <cell r="A1301" t="str">
            <v>New York</v>
          </cell>
        </row>
        <row r="1302">
          <cell r="A1302" t="str">
            <v>New York</v>
          </cell>
        </row>
        <row r="1303">
          <cell r="A1303" t="str">
            <v>New York</v>
          </cell>
        </row>
        <row r="1304">
          <cell r="A1304" t="str">
            <v>New York</v>
          </cell>
        </row>
        <row r="1305">
          <cell r="A1305" t="str">
            <v>New York</v>
          </cell>
        </row>
        <row r="1306">
          <cell r="A1306" t="str">
            <v>New York</v>
          </cell>
        </row>
        <row r="1307">
          <cell r="A1307" t="str">
            <v>New York</v>
          </cell>
        </row>
        <row r="1308">
          <cell r="A1308" t="str">
            <v>New York</v>
          </cell>
        </row>
        <row r="1309">
          <cell r="A1309" t="str">
            <v>New York</v>
          </cell>
        </row>
        <row r="1310">
          <cell r="A1310" t="str">
            <v>New York</v>
          </cell>
        </row>
        <row r="1311">
          <cell r="A1311" t="str">
            <v>New York</v>
          </cell>
        </row>
        <row r="1312">
          <cell r="A1312" t="str">
            <v>New York</v>
          </cell>
        </row>
        <row r="1313">
          <cell r="A1313" t="str">
            <v>New York</v>
          </cell>
        </row>
        <row r="1314">
          <cell r="A1314" t="str">
            <v>New York</v>
          </cell>
        </row>
        <row r="1315">
          <cell r="A1315" t="str">
            <v>New York</v>
          </cell>
        </row>
        <row r="1316">
          <cell r="A1316" t="str">
            <v>New York</v>
          </cell>
        </row>
        <row r="1317">
          <cell r="A1317" t="str">
            <v>New York</v>
          </cell>
        </row>
        <row r="1318">
          <cell r="A1318" t="str">
            <v>New York</v>
          </cell>
        </row>
        <row r="1319">
          <cell r="A1319" t="str">
            <v>New York</v>
          </cell>
        </row>
        <row r="1320">
          <cell r="A1320" t="str">
            <v>New York</v>
          </cell>
        </row>
        <row r="1321">
          <cell r="A1321" t="str">
            <v>New York</v>
          </cell>
        </row>
        <row r="1322">
          <cell r="A1322" t="str">
            <v>New York</v>
          </cell>
        </row>
        <row r="1323">
          <cell r="A1323" t="str">
            <v>New York</v>
          </cell>
        </row>
        <row r="1324">
          <cell r="A1324" t="str">
            <v>New York</v>
          </cell>
        </row>
        <row r="1325">
          <cell r="A1325" t="str">
            <v>New York</v>
          </cell>
        </row>
        <row r="1326">
          <cell r="A1326" t="str">
            <v>New York</v>
          </cell>
        </row>
        <row r="1327">
          <cell r="A1327" t="str">
            <v>New York</v>
          </cell>
        </row>
        <row r="1328">
          <cell r="A1328" t="str">
            <v>New York</v>
          </cell>
        </row>
        <row r="1329">
          <cell r="A1329" t="str">
            <v>New York</v>
          </cell>
        </row>
        <row r="1330">
          <cell r="A1330" t="str">
            <v>New York</v>
          </cell>
        </row>
        <row r="1331">
          <cell r="A1331" t="str">
            <v>New York</v>
          </cell>
        </row>
        <row r="1332">
          <cell r="A1332" t="str">
            <v>New York</v>
          </cell>
        </row>
        <row r="1333">
          <cell r="A1333" t="str">
            <v>New York</v>
          </cell>
        </row>
        <row r="1334">
          <cell r="A1334" t="str">
            <v>New York</v>
          </cell>
        </row>
        <row r="1335">
          <cell r="A1335" t="str">
            <v>New York</v>
          </cell>
        </row>
        <row r="1336">
          <cell r="A1336" t="str">
            <v>New York</v>
          </cell>
        </row>
        <row r="1337">
          <cell r="A1337" t="str">
            <v>New York</v>
          </cell>
        </row>
        <row r="1338">
          <cell r="A1338" t="str">
            <v>New York</v>
          </cell>
        </row>
        <row r="1339">
          <cell r="A1339" t="str">
            <v>New York</v>
          </cell>
        </row>
        <row r="1340">
          <cell r="A1340" t="str">
            <v>New York</v>
          </cell>
        </row>
        <row r="1341">
          <cell r="A1341" t="str">
            <v>New York</v>
          </cell>
        </row>
        <row r="1342">
          <cell r="A1342" t="str">
            <v>North Carolina</v>
          </cell>
        </row>
        <row r="1343">
          <cell r="A1343" t="str">
            <v>North Carolina</v>
          </cell>
        </row>
        <row r="1344">
          <cell r="A1344" t="str">
            <v>North Carolina</v>
          </cell>
        </row>
        <row r="1345">
          <cell r="A1345" t="str">
            <v>North Carolina</v>
          </cell>
        </row>
        <row r="1346">
          <cell r="A1346" t="str">
            <v>North Carolina</v>
          </cell>
        </row>
        <row r="1347">
          <cell r="A1347" t="str">
            <v>North Carolina</v>
          </cell>
        </row>
        <row r="1348">
          <cell r="A1348" t="str">
            <v>North Carolina</v>
          </cell>
        </row>
        <row r="1349">
          <cell r="A1349" t="str">
            <v>North Carolina</v>
          </cell>
        </row>
        <row r="1350">
          <cell r="A1350" t="str">
            <v>North Carolina</v>
          </cell>
        </row>
        <row r="1351">
          <cell r="A1351" t="str">
            <v>North Carolina</v>
          </cell>
        </row>
        <row r="1352">
          <cell r="A1352" t="str">
            <v>North Carolina</v>
          </cell>
        </row>
        <row r="1353">
          <cell r="A1353" t="str">
            <v>North Carolina</v>
          </cell>
        </row>
        <row r="1354">
          <cell r="A1354" t="str">
            <v>North Carolina</v>
          </cell>
        </row>
        <row r="1355">
          <cell r="A1355" t="str">
            <v>North Carolina</v>
          </cell>
        </row>
        <row r="1356">
          <cell r="A1356" t="str">
            <v>North Carolina</v>
          </cell>
        </row>
        <row r="1357">
          <cell r="A1357" t="str">
            <v>North Carolina</v>
          </cell>
        </row>
        <row r="1358">
          <cell r="A1358" t="str">
            <v>North Carolina</v>
          </cell>
        </row>
        <row r="1359">
          <cell r="A1359" t="str">
            <v>North Carolina</v>
          </cell>
        </row>
        <row r="1360">
          <cell r="A1360" t="str">
            <v>North Carolina</v>
          </cell>
        </row>
        <row r="1361">
          <cell r="A1361" t="str">
            <v>North Carolina</v>
          </cell>
        </row>
        <row r="1362">
          <cell r="A1362" t="str">
            <v>North Carolina</v>
          </cell>
        </row>
        <row r="1363">
          <cell r="A1363" t="str">
            <v>North Carolina</v>
          </cell>
        </row>
        <row r="1364">
          <cell r="A1364" t="str">
            <v>North Carolina</v>
          </cell>
        </row>
        <row r="1365">
          <cell r="A1365" t="str">
            <v>North Carolina</v>
          </cell>
        </row>
        <row r="1366">
          <cell r="A1366" t="str">
            <v>North Carolina</v>
          </cell>
        </row>
        <row r="1367">
          <cell r="A1367" t="str">
            <v>North Carolina</v>
          </cell>
        </row>
        <row r="1368">
          <cell r="A1368" t="str">
            <v>North Carolina</v>
          </cell>
        </row>
        <row r="1369">
          <cell r="A1369" t="str">
            <v>North Carolina</v>
          </cell>
        </row>
        <row r="1370">
          <cell r="A1370" t="str">
            <v>North Carolina</v>
          </cell>
        </row>
        <row r="1371">
          <cell r="A1371" t="str">
            <v>North Carolina</v>
          </cell>
        </row>
        <row r="1372">
          <cell r="A1372" t="str">
            <v>North Carolina</v>
          </cell>
        </row>
        <row r="1373">
          <cell r="A1373" t="str">
            <v>North Carolina</v>
          </cell>
        </row>
        <row r="1374">
          <cell r="A1374" t="str">
            <v>North Carolina</v>
          </cell>
        </row>
        <row r="1375">
          <cell r="A1375" t="str">
            <v>North Carolina</v>
          </cell>
        </row>
        <row r="1376">
          <cell r="A1376" t="str">
            <v>North Carolina</v>
          </cell>
        </row>
        <row r="1377">
          <cell r="A1377" t="str">
            <v>North Carolina</v>
          </cell>
        </row>
        <row r="1378">
          <cell r="A1378" t="str">
            <v>North Carolina</v>
          </cell>
        </row>
        <row r="1379">
          <cell r="A1379" t="str">
            <v>North Carolina</v>
          </cell>
        </row>
        <row r="1380">
          <cell r="A1380" t="str">
            <v>North Carolina</v>
          </cell>
        </row>
        <row r="1381">
          <cell r="A1381" t="str">
            <v>North Carolina</v>
          </cell>
        </row>
        <row r="1382">
          <cell r="A1382" t="str">
            <v>North Carolina</v>
          </cell>
        </row>
        <row r="1383">
          <cell r="A1383" t="str">
            <v>North Carolina</v>
          </cell>
        </row>
        <row r="1384">
          <cell r="A1384" t="str">
            <v>North Carolina</v>
          </cell>
        </row>
        <row r="1385">
          <cell r="A1385" t="str">
            <v>North Carolina</v>
          </cell>
        </row>
        <row r="1386">
          <cell r="A1386" t="str">
            <v>North Carolina</v>
          </cell>
        </row>
        <row r="1387">
          <cell r="A1387" t="str">
            <v>North Carolina</v>
          </cell>
        </row>
        <row r="1388">
          <cell r="A1388" t="str">
            <v>North Carolina</v>
          </cell>
        </row>
        <row r="1389">
          <cell r="A1389" t="str">
            <v>North Carolina</v>
          </cell>
        </row>
        <row r="1390">
          <cell r="A1390" t="str">
            <v>North Carolina</v>
          </cell>
        </row>
        <row r="1391">
          <cell r="A1391" t="str">
            <v>North Carolina</v>
          </cell>
        </row>
        <row r="1392">
          <cell r="A1392" t="str">
            <v>North Carolina</v>
          </cell>
        </row>
        <row r="1393">
          <cell r="A1393" t="str">
            <v>North Carolina</v>
          </cell>
        </row>
        <row r="1394">
          <cell r="A1394" t="str">
            <v>North Carolina</v>
          </cell>
        </row>
        <row r="1395">
          <cell r="A1395" t="str">
            <v>North Carolina</v>
          </cell>
        </row>
        <row r="1396">
          <cell r="A1396" t="str">
            <v>North Carolina</v>
          </cell>
        </row>
        <row r="1397">
          <cell r="A1397" t="str">
            <v>North Carolina</v>
          </cell>
        </row>
        <row r="1398">
          <cell r="A1398" t="str">
            <v>North Carolina</v>
          </cell>
        </row>
        <row r="1399">
          <cell r="A1399" t="str">
            <v>North Carolina</v>
          </cell>
        </row>
        <row r="1400">
          <cell r="A1400" t="str">
            <v>North Carolina</v>
          </cell>
        </row>
        <row r="1401">
          <cell r="A1401" t="str">
            <v>North Carolina</v>
          </cell>
        </row>
        <row r="1402">
          <cell r="A1402" t="str">
            <v>North Carolina</v>
          </cell>
        </row>
        <row r="1403">
          <cell r="A1403" t="str">
            <v>North Carolina</v>
          </cell>
        </row>
        <row r="1404">
          <cell r="A1404" t="str">
            <v>North Carolina</v>
          </cell>
        </row>
        <row r="1405">
          <cell r="A1405" t="str">
            <v>North Carolina</v>
          </cell>
        </row>
        <row r="1406">
          <cell r="A1406" t="str">
            <v>North Carolina</v>
          </cell>
        </row>
        <row r="1407">
          <cell r="A1407" t="str">
            <v>North Carolina</v>
          </cell>
        </row>
        <row r="1408">
          <cell r="A1408" t="str">
            <v>North Carolina</v>
          </cell>
        </row>
        <row r="1409">
          <cell r="A1409" t="str">
            <v>North Carolina</v>
          </cell>
        </row>
        <row r="1410">
          <cell r="A1410" t="str">
            <v>North Carolina</v>
          </cell>
        </row>
        <row r="1411">
          <cell r="A1411" t="str">
            <v>North Carolina</v>
          </cell>
        </row>
        <row r="1412">
          <cell r="A1412" t="str">
            <v>North Dakota</v>
          </cell>
        </row>
        <row r="1413">
          <cell r="A1413" t="str">
            <v>North Dakota</v>
          </cell>
        </row>
        <row r="1414">
          <cell r="A1414" t="str">
            <v>North Dakota</v>
          </cell>
        </row>
        <row r="1415">
          <cell r="A1415" t="str">
            <v>North Dakota</v>
          </cell>
        </row>
        <row r="1416">
          <cell r="A1416" t="str">
            <v>North Dakota</v>
          </cell>
        </row>
        <row r="1417">
          <cell r="A1417" t="str">
            <v>North Dakota</v>
          </cell>
        </row>
        <row r="1418">
          <cell r="A1418" t="str">
            <v>North Dakota</v>
          </cell>
        </row>
        <row r="1419">
          <cell r="A1419" t="str">
            <v>North Dakota</v>
          </cell>
        </row>
        <row r="1420">
          <cell r="A1420" t="str">
            <v>North Dakota</v>
          </cell>
        </row>
        <row r="1421">
          <cell r="A1421" t="str">
            <v>North Dakota</v>
          </cell>
        </row>
        <row r="1422">
          <cell r="A1422" t="str">
            <v>North Dakota</v>
          </cell>
        </row>
        <row r="1423">
          <cell r="A1423" t="str">
            <v>North Dakota</v>
          </cell>
        </row>
        <row r="1424">
          <cell r="A1424" t="str">
            <v>North Dakota</v>
          </cell>
        </row>
        <row r="1425">
          <cell r="A1425" t="str">
            <v>North Dakota</v>
          </cell>
        </row>
        <row r="1426">
          <cell r="A1426" t="str">
            <v>North Dakota</v>
          </cell>
        </row>
        <row r="1427">
          <cell r="A1427" t="str">
            <v>North Dakota</v>
          </cell>
        </row>
        <row r="1428">
          <cell r="A1428" t="str">
            <v>North Dakota</v>
          </cell>
        </row>
        <row r="1429">
          <cell r="A1429" t="str">
            <v>North Dakota</v>
          </cell>
        </row>
        <row r="1430">
          <cell r="A1430" t="str">
            <v>North Dakota</v>
          </cell>
        </row>
        <row r="1431">
          <cell r="A1431" t="str">
            <v>North Dakota</v>
          </cell>
        </row>
        <row r="1432">
          <cell r="A1432" t="str">
            <v>Ohio</v>
          </cell>
        </row>
        <row r="1433">
          <cell r="A1433" t="str">
            <v>Ohio</v>
          </cell>
        </row>
        <row r="1434">
          <cell r="A1434" t="str">
            <v>Ohio</v>
          </cell>
        </row>
        <row r="1435">
          <cell r="A1435" t="str">
            <v>Ohio</v>
          </cell>
        </row>
        <row r="1436">
          <cell r="A1436" t="str">
            <v>Ohio</v>
          </cell>
        </row>
        <row r="1437">
          <cell r="A1437" t="str">
            <v>Ohio</v>
          </cell>
        </row>
        <row r="1438">
          <cell r="A1438" t="str">
            <v>Ohio</v>
          </cell>
        </row>
        <row r="1439">
          <cell r="A1439" t="str">
            <v>Ohio</v>
          </cell>
        </row>
        <row r="1440">
          <cell r="A1440" t="str">
            <v>Ohio</v>
          </cell>
        </row>
        <row r="1441">
          <cell r="A1441" t="str">
            <v>Ohio</v>
          </cell>
        </row>
        <row r="1442">
          <cell r="A1442" t="str">
            <v>Ohio</v>
          </cell>
        </row>
        <row r="1443">
          <cell r="A1443" t="str">
            <v>Ohio</v>
          </cell>
        </row>
        <row r="1444">
          <cell r="A1444" t="str">
            <v>Ohio</v>
          </cell>
        </row>
        <row r="1445">
          <cell r="A1445" t="str">
            <v>Ohio</v>
          </cell>
        </row>
        <row r="1446">
          <cell r="A1446" t="str">
            <v>Ohio</v>
          </cell>
        </row>
        <row r="1447">
          <cell r="A1447" t="str">
            <v>Ohio</v>
          </cell>
        </row>
        <row r="1448">
          <cell r="A1448" t="str">
            <v>Ohio</v>
          </cell>
        </row>
        <row r="1449">
          <cell r="A1449" t="str">
            <v>Ohio</v>
          </cell>
        </row>
        <row r="1450">
          <cell r="A1450" t="str">
            <v>Ohio</v>
          </cell>
        </row>
        <row r="1451">
          <cell r="A1451" t="str">
            <v>Ohio</v>
          </cell>
        </row>
        <row r="1452">
          <cell r="A1452" t="str">
            <v>Ohio</v>
          </cell>
        </row>
        <row r="1453">
          <cell r="A1453" t="str">
            <v>Ohio</v>
          </cell>
        </row>
        <row r="1454">
          <cell r="A1454" t="str">
            <v>Ohio</v>
          </cell>
        </row>
        <row r="1455">
          <cell r="A1455" t="str">
            <v>Ohio</v>
          </cell>
        </row>
        <row r="1456">
          <cell r="A1456" t="str">
            <v>Ohio</v>
          </cell>
        </row>
        <row r="1457">
          <cell r="A1457" t="str">
            <v>Ohio</v>
          </cell>
        </row>
        <row r="1458">
          <cell r="A1458" t="str">
            <v>Ohio</v>
          </cell>
        </row>
        <row r="1459">
          <cell r="A1459" t="str">
            <v>Ohio</v>
          </cell>
        </row>
        <row r="1460">
          <cell r="A1460" t="str">
            <v>Ohio</v>
          </cell>
        </row>
        <row r="1461">
          <cell r="A1461" t="str">
            <v>Ohio</v>
          </cell>
        </row>
        <row r="1462">
          <cell r="A1462" t="str">
            <v>Ohio</v>
          </cell>
        </row>
        <row r="1463">
          <cell r="A1463" t="str">
            <v>Ohio</v>
          </cell>
        </row>
        <row r="1464">
          <cell r="A1464" t="str">
            <v>Ohio</v>
          </cell>
        </row>
        <row r="1465">
          <cell r="A1465" t="str">
            <v>Ohio</v>
          </cell>
        </row>
        <row r="1466">
          <cell r="A1466" t="str">
            <v>Ohio</v>
          </cell>
        </row>
        <row r="1467">
          <cell r="A1467" t="str">
            <v>Ohio</v>
          </cell>
        </row>
        <row r="1468">
          <cell r="A1468" t="str">
            <v>Ohio</v>
          </cell>
        </row>
        <row r="1469">
          <cell r="A1469" t="str">
            <v>Oklahoma</v>
          </cell>
        </row>
        <row r="1470">
          <cell r="A1470" t="str">
            <v>Oklahoma</v>
          </cell>
        </row>
        <row r="1471">
          <cell r="A1471" t="str">
            <v>Oklahoma</v>
          </cell>
        </row>
        <row r="1472">
          <cell r="A1472" t="str">
            <v>Oklahoma</v>
          </cell>
        </row>
        <row r="1473">
          <cell r="A1473" t="str">
            <v>Oklahoma</v>
          </cell>
        </row>
        <row r="1474">
          <cell r="A1474" t="str">
            <v>Oklahoma</v>
          </cell>
        </row>
        <row r="1475">
          <cell r="A1475" t="str">
            <v>Oklahoma</v>
          </cell>
        </row>
        <row r="1476">
          <cell r="A1476" t="str">
            <v>Oklahoma</v>
          </cell>
        </row>
        <row r="1477">
          <cell r="A1477" t="str">
            <v>Oklahoma</v>
          </cell>
        </row>
        <row r="1478">
          <cell r="A1478" t="str">
            <v>Oklahoma</v>
          </cell>
        </row>
        <row r="1479">
          <cell r="A1479" t="str">
            <v>Oklahoma</v>
          </cell>
        </row>
        <row r="1480">
          <cell r="A1480" t="str">
            <v>Oklahoma</v>
          </cell>
        </row>
        <row r="1481">
          <cell r="A1481" t="str">
            <v>Oklahoma</v>
          </cell>
        </row>
        <row r="1482">
          <cell r="A1482" t="str">
            <v>Oklahoma</v>
          </cell>
        </row>
        <row r="1483">
          <cell r="A1483" t="str">
            <v>Oklahoma</v>
          </cell>
        </row>
        <row r="1484">
          <cell r="A1484" t="str">
            <v>Oklahoma</v>
          </cell>
        </row>
        <row r="1485">
          <cell r="A1485" t="str">
            <v>Oklahoma</v>
          </cell>
        </row>
        <row r="1486">
          <cell r="A1486" t="str">
            <v>Oklahoma</v>
          </cell>
        </row>
        <row r="1487">
          <cell r="A1487" t="str">
            <v>Oklahoma</v>
          </cell>
        </row>
        <row r="1488">
          <cell r="A1488" t="str">
            <v>Oklahoma</v>
          </cell>
        </row>
        <row r="1489">
          <cell r="A1489" t="str">
            <v>Oklahoma</v>
          </cell>
        </row>
        <row r="1490">
          <cell r="A1490" t="str">
            <v>Oklahoma</v>
          </cell>
        </row>
        <row r="1491">
          <cell r="A1491" t="str">
            <v>Oklahoma</v>
          </cell>
        </row>
        <row r="1492">
          <cell r="A1492" t="str">
            <v>Oklahoma</v>
          </cell>
        </row>
        <row r="1493">
          <cell r="A1493" t="str">
            <v>Oklahoma</v>
          </cell>
        </row>
        <row r="1494">
          <cell r="A1494" t="str">
            <v>Oklahoma</v>
          </cell>
        </row>
        <row r="1495">
          <cell r="A1495" t="str">
            <v>Oregon</v>
          </cell>
        </row>
        <row r="1496">
          <cell r="A1496" t="str">
            <v>Oregon</v>
          </cell>
        </row>
        <row r="1497">
          <cell r="A1497" t="str">
            <v>Oregon</v>
          </cell>
        </row>
        <row r="1498">
          <cell r="A1498" t="str">
            <v>Oregon</v>
          </cell>
        </row>
        <row r="1499">
          <cell r="A1499" t="str">
            <v>Oregon</v>
          </cell>
        </row>
        <row r="1500">
          <cell r="A1500" t="str">
            <v>Oregon</v>
          </cell>
        </row>
        <row r="1501">
          <cell r="A1501" t="str">
            <v>Oregon</v>
          </cell>
        </row>
        <row r="1502">
          <cell r="A1502" t="str">
            <v>Oregon</v>
          </cell>
        </row>
        <row r="1503">
          <cell r="A1503" t="str">
            <v>Oregon</v>
          </cell>
        </row>
        <row r="1504">
          <cell r="A1504" t="str">
            <v>Oregon</v>
          </cell>
        </row>
        <row r="1505">
          <cell r="A1505" t="str">
            <v>Oregon</v>
          </cell>
        </row>
        <row r="1506">
          <cell r="A1506" t="str">
            <v>Oregon</v>
          </cell>
        </row>
        <row r="1507">
          <cell r="A1507" t="str">
            <v>Oregon</v>
          </cell>
        </row>
        <row r="1508">
          <cell r="A1508" t="str">
            <v>Oregon</v>
          </cell>
        </row>
        <row r="1509">
          <cell r="A1509" t="str">
            <v>Oregon</v>
          </cell>
        </row>
        <row r="1510">
          <cell r="A1510" t="str">
            <v>Oregon</v>
          </cell>
        </row>
        <row r="1511">
          <cell r="A1511" t="str">
            <v>Oregon</v>
          </cell>
        </row>
        <row r="1512">
          <cell r="A1512" t="str">
            <v>Oregon</v>
          </cell>
        </row>
        <row r="1513">
          <cell r="A1513" t="str">
            <v>Oregon</v>
          </cell>
        </row>
        <row r="1514">
          <cell r="A1514" t="str">
            <v>Oregon</v>
          </cell>
        </row>
        <row r="1515">
          <cell r="A1515" t="str">
            <v>Oregon</v>
          </cell>
        </row>
        <row r="1516">
          <cell r="A1516" t="str">
            <v>Oregon</v>
          </cell>
        </row>
        <row r="1517">
          <cell r="A1517" t="str">
            <v>Oregon</v>
          </cell>
        </row>
        <row r="1518">
          <cell r="A1518" t="str">
            <v>Oregon</v>
          </cell>
        </row>
        <row r="1519">
          <cell r="A1519" t="str">
            <v>Oregon</v>
          </cell>
        </row>
        <row r="1520">
          <cell r="A1520" t="str">
            <v>Oregon</v>
          </cell>
        </row>
        <row r="1521">
          <cell r="A1521" t="str">
            <v>Oregon</v>
          </cell>
        </row>
        <row r="1522">
          <cell r="A1522" t="str">
            <v>Oregon</v>
          </cell>
        </row>
        <row r="1523">
          <cell r="A1523" t="str">
            <v>Pennsylvania</v>
          </cell>
        </row>
        <row r="1524">
          <cell r="A1524" t="str">
            <v>Pennsylvania</v>
          </cell>
        </row>
        <row r="1525">
          <cell r="A1525" t="str">
            <v>Pennsylvania</v>
          </cell>
        </row>
        <row r="1526">
          <cell r="A1526" t="str">
            <v>Pennsylvania</v>
          </cell>
        </row>
        <row r="1527">
          <cell r="A1527" t="str">
            <v>Pennsylvania</v>
          </cell>
        </row>
        <row r="1528">
          <cell r="A1528" t="str">
            <v>Pennsylvania</v>
          </cell>
        </row>
        <row r="1529">
          <cell r="A1529" t="str">
            <v>Pennsylvania</v>
          </cell>
        </row>
        <row r="1530">
          <cell r="A1530" t="str">
            <v>Pennsylvania</v>
          </cell>
        </row>
        <row r="1531">
          <cell r="A1531" t="str">
            <v>Pennsylvania</v>
          </cell>
        </row>
        <row r="1532">
          <cell r="A1532" t="str">
            <v>Pennsylvania</v>
          </cell>
        </row>
        <row r="1533">
          <cell r="A1533" t="str">
            <v>Pennsylvania</v>
          </cell>
        </row>
        <row r="1534">
          <cell r="A1534" t="str">
            <v>Pennsylvania</v>
          </cell>
        </row>
        <row r="1535">
          <cell r="A1535" t="str">
            <v>Pennsylvania</v>
          </cell>
        </row>
        <row r="1536">
          <cell r="A1536" t="str">
            <v>Pennsylvania</v>
          </cell>
        </row>
        <row r="1537">
          <cell r="A1537" t="str">
            <v>Pennsylvania</v>
          </cell>
        </row>
        <row r="1538">
          <cell r="A1538" t="str">
            <v>Pennsylvania</v>
          </cell>
        </row>
        <row r="1539">
          <cell r="A1539" t="str">
            <v>Pennsylvania</v>
          </cell>
        </row>
        <row r="1540">
          <cell r="A1540" t="str">
            <v>Pennsylvania</v>
          </cell>
        </row>
        <row r="1541">
          <cell r="A1541" t="str">
            <v>Pennsylvania</v>
          </cell>
        </row>
        <row r="1542">
          <cell r="A1542" t="str">
            <v>Pennsylvania</v>
          </cell>
        </row>
        <row r="1543">
          <cell r="A1543" t="str">
            <v>Pennsylvania</v>
          </cell>
        </row>
        <row r="1544">
          <cell r="A1544" t="str">
            <v>Pennsylvania</v>
          </cell>
        </row>
        <row r="1545">
          <cell r="A1545" t="str">
            <v>Pennsylvania</v>
          </cell>
        </row>
        <row r="1546">
          <cell r="A1546" t="str">
            <v>Pennsylvania</v>
          </cell>
        </row>
        <row r="1547">
          <cell r="A1547" t="str">
            <v>Pennsylvania</v>
          </cell>
        </row>
        <row r="1548">
          <cell r="A1548" t="str">
            <v>Pennsylvania</v>
          </cell>
        </row>
        <row r="1549">
          <cell r="A1549" t="str">
            <v>Pennsylvania</v>
          </cell>
        </row>
        <row r="1550">
          <cell r="A1550" t="str">
            <v>Pennsylvania</v>
          </cell>
        </row>
        <row r="1551">
          <cell r="A1551" t="str">
            <v>Pennsylvania</v>
          </cell>
        </row>
        <row r="1552">
          <cell r="A1552" t="str">
            <v>Pennsylvania</v>
          </cell>
        </row>
        <row r="1553">
          <cell r="A1553" t="str">
            <v>Pennsylvania</v>
          </cell>
        </row>
        <row r="1554">
          <cell r="A1554" t="str">
            <v>Pennsylvania</v>
          </cell>
        </row>
        <row r="1555">
          <cell r="A1555" t="str">
            <v>Pennsylvania</v>
          </cell>
        </row>
        <row r="1556">
          <cell r="A1556" t="str">
            <v>Pennsylvania</v>
          </cell>
        </row>
        <row r="1557">
          <cell r="A1557" t="str">
            <v>Pennsylvania</v>
          </cell>
        </row>
        <row r="1558">
          <cell r="A1558" t="str">
            <v>Pennsylvania</v>
          </cell>
        </row>
        <row r="1559">
          <cell r="A1559" t="str">
            <v>Pennsylvania</v>
          </cell>
        </row>
        <row r="1560">
          <cell r="A1560" t="str">
            <v>Pennsylvania</v>
          </cell>
        </row>
        <row r="1561">
          <cell r="A1561" t="str">
            <v>Pennsylvania</v>
          </cell>
        </row>
        <row r="1562">
          <cell r="A1562" t="str">
            <v>Pennsylvania</v>
          </cell>
        </row>
        <row r="1563">
          <cell r="A1563" t="str">
            <v>Pennsylvania</v>
          </cell>
        </row>
        <row r="1564">
          <cell r="A1564" t="str">
            <v>Pennsylvania</v>
          </cell>
        </row>
        <row r="1565">
          <cell r="A1565" t="str">
            <v>Pennsylvania</v>
          </cell>
        </row>
        <row r="1566">
          <cell r="A1566" t="str">
            <v>Pennsylvania</v>
          </cell>
        </row>
        <row r="1567">
          <cell r="A1567" t="str">
            <v>Pennsylvania</v>
          </cell>
        </row>
        <row r="1568">
          <cell r="A1568" t="str">
            <v>Pennsylvania</v>
          </cell>
        </row>
        <row r="1569">
          <cell r="A1569" t="str">
            <v>Pennsylvania</v>
          </cell>
        </row>
        <row r="1570">
          <cell r="A1570" t="str">
            <v>Pennsylvania</v>
          </cell>
        </row>
        <row r="1571">
          <cell r="A1571" t="str">
            <v>Rhode Island</v>
          </cell>
        </row>
        <row r="1572">
          <cell r="A1572" t="str">
            <v>Rhode Island</v>
          </cell>
        </row>
        <row r="1573">
          <cell r="A1573" t="str">
            <v>Rhode Island</v>
          </cell>
        </row>
        <row r="1574">
          <cell r="A1574" t="str">
            <v>Rhode Island</v>
          </cell>
        </row>
        <row r="1575">
          <cell r="A1575" t="str">
            <v>Rhode Island</v>
          </cell>
        </row>
        <row r="1576">
          <cell r="A1576" t="str">
            <v>Rhode Island</v>
          </cell>
        </row>
        <row r="1577">
          <cell r="A1577" t="str">
            <v>South Carolina</v>
          </cell>
        </row>
        <row r="1578">
          <cell r="A1578" t="str">
            <v>South Carolina</v>
          </cell>
        </row>
        <row r="1579">
          <cell r="A1579" t="str">
            <v>South Carolina</v>
          </cell>
        </row>
        <row r="1580">
          <cell r="A1580" t="str">
            <v>South Carolina</v>
          </cell>
        </row>
        <row r="1581">
          <cell r="A1581" t="str">
            <v>South Carolina</v>
          </cell>
        </row>
        <row r="1582">
          <cell r="A1582" t="str">
            <v>South Carolina</v>
          </cell>
        </row>
        <row r="1583">
          <cell r="A1583" t="str">
            <v>South Carolina</v>
          </cell>
        </row>
        <row r="1584">
          <cell r="A1584" t="str">
            <v>South Carolina</v>
          </cell>
        </row>
        <row r="1585">
          <cell r="A1585" t="str">
            <v>South Carolina</v>
          </cell>
        </row>
        <row r="1586">
          <cell r="A1586" t="str">
            <v>South Carolina</v>
          </cell>
        </row>
        <row r="1587">
          <cell r="A1587" t="str">
            <v>South Carolina</v>
          </cell>
        </row>
        <row r="1588">
          <cell r="A1588" t="str">
            <v>South Carolina</v>
          </cell>
        </row>
        <row r="1589">
          <cell r="A1589" t="str">
            <v>South Carolina</v>
          </cell>
        </row>
        <row r="1590">
          <cell r="A1590" t="str">
            <v>South Carolina</v>
          </cell>
        </row>
        <row r="1591">
          <cell r="A1591" t="str">
            <v>South Carolina</v>
          </cell>
        </row>
        <row r="1592">
          <cell r="A1592" t="str">
            <v>South Carolina</v>
          </cell>
        </row>
        <row r="1593">
          <cell r="A1593" t="str">
            <v>South Carolina</v>
          </cell>
        </row>
        <row r="1594">
          <cell r="A1594" t="str">
            <v>South Carolina</v>
          </cell>
        </row>
        <row r="1595">
          <cell r="A1595" t="str">
            <v>South Carolina</v>
          </cell>
        </row>
        <row r="1596">
          <cell r="A1596" t="str">
            <v>South Carolina</v>
          </cell>
        </row>
        <row r="1597">
          <cell r="A1597" t="str">
            <v>South Carolina</v>
          </cell>
        </row>
        <row r="1598">
          <cell r="A1598" t="str">
            <v>South Carolina</v>
          </cell>
        </row>
        <row r="1599">
          <cell r="A1599" t="str">
            <v>South Carolina</v>
          </cell>
        </row>
        <row r="1600">
          <cell r="A1600" t="str">
            <v>South Carolina</v>
          </cell>
        </row>
        <row r="1601">
          <cell r="A1601" t="str">
            <v>South Carolina</v>
          </cell>
        </row>
        <row r="1602">
          <cell r="A1602" t="str">
            <v>South Carolina</v>
          </cell>
        </row>
        <row r="1603">
          <cell r="A1603" t="str">
            <v>South Carolina</v>
          </cell>
        </row>
        <row r="1604">
          <cell r="A1604" t="str">
            <v>South Carolina</v>
          </cell>
        </row>
        <row r="1605">
          <cell r="A1605" t="str">
            <v>South Carolina</v>
          </cell>
        </row>
        <row r="1606">
          <cell r="A1606" t="str">
            <v>South Carolina</v>
          </cell>
        </row>
        <row r="1607">
          <cell r="A1607" t="str">
            <v>South Carolina</v>
          </cell>
        </row>
        <row r="1608">
          <cell r="A1608" t="str">
            <v>South Carolina</v>
          </cell>
        </row>
        <row r="1609">
          <cell r="A1609" t="str">
            <v>South Carolina</v>
          </cell>
        </row>
        <row r="1610">
          <cell r="A1610" t="str">
            <v>South Carolina</v>
          </cell>
        </row>
        <row r="1611">
          <cell r="A1611" t="str">
            <v>South Carolina</v>
          </cell>
        </row>
        <row r="1612">
          <cell r="A1612" t="str">
            <v>South Carolina</v>
          </cell>
        </row>
        <row r="1613">
          <cell r="A1613" t="str">
            <v>South Carolina</v>
          </cell>
        </row>
        <row r="1614">
          <cell r="A1614" t="str">
            <v>South Carolina</v>
          </cell>
        </row>
        <row r="1615">
          <cell r="A1615" t="str">
            <v>South Carolina</v>
          </cell>
        </row>
        <row r="1616">
          <cell r="A1616" t="str">
            <v>South Carolina</v>
          </cell>
        </row>
        <row r="1617">
          <cell r="A1617" t="str">
            <v>South Carolina</v>
          </cell>
        </row>
        <row r="1618">
          <cell r="A1618" t="str">
            <v>South Carolina</v>
          </cell>
        </row>
        <row r="1619">
          <cell r="A1619" t="str">
            <v>South Carolina</v>
          </cell>
        </row>
        <row r="1620">
          <cell r="A1620" t="str">
            <v>South Dakota</v>
          </cell>
        </row>
        <row r="1621">
          <cell r="A1621" t="str">
            <v>South Dakota</v>
          </cell>
        </row>
        <row r="1622">
          <cell r="A1622" t="str">
            <v>South Dakota</v>
          </cell>
        </row>
        <row r="1623">
          <cell r="A1623" t="str">
            <v>South Dakota</v>
          </cell>
        </row>
        <row r="1624">
          <cell r="A1624" t="str">
            <v>South Dakota</v>
          </cell>
        </row>
        <row r="1625">
          <cell r="A1625" t="str">
            <v>South Dakota</v>
          </cell>
        </row>
        <row r="1626">
          <cell r="A1626" t="str">
            <v>South Dakota</v>
          </cell>
        </row>
        <row r="1627">
          <cell r="A1627" t="str">
            <v>South Dakota</v>
          </cell>
        </row>
        <row r="1628">
          <cell r="A1628" t="str">
            <v>South Dakota</v>
          </cell>
        </row>
        <row r="1629">
          <cell r="A1629" t="str">
            <v>South Dakota</v>
          </cell>
        </row>
        <row r="1630">
          <cell r="A1630" t="str">
            <v>South Dakota</v>
          </cell>
        </row>
        <row r="1631">
          <cell r="A1631" t="str">
            <v>South Dakota</v>
          </cell>
        </row>
        <row r="1632">
          <cell r="A1632" t="str">
            <v>South Dakota</v>
          </cell>
        </row>
        <row r="1633">
          <cell r="A1633" t="str">
            <v>South Dakota</v>
          </cell>
        </row>
        <row r="1634">
          <cell r="A1634" t="str">
            <v>South Dakota</v>
          </cell>
        </row>
        <row r="1635">
          <cell r="A1635" t="str">
            <v>South Dakota</v>
          </cell>
        </row>
        <row r="1636">
          <cell r="A1636" t="str">
            <v>South Dakota</v>
          </cell>
        </row>
        <row r="1637">
          <cell r="A1637" t="str">
            <v>South Dakota</v>
          </cell>
        </row>
        <row r="1638">
          <cell r="A1638" t="str">
            <v>South Dakota</v>
          </cell>
        </row>
        <row r="1639">
          <cell r="A1639" t="str">
            <v>South Dakota</v>
          </cell>
        </row>
        <row r="1640">
          <cell r="A1640" t="str">
            <v>South Dakota</v>
          </cell>
        </row>
        <row r="1641">
          <cell r="A1641" t="str">
            <v>South Dakota</v>
          </cell>
        </row>
        <row r="1642">
          <cell r="A1642" t="str">
            <v>South Dakota</v>
          </cell>
        </row>
        <row r="1643">
          <cell r="A1643" t="str">
            <v>South Dakota</v>
          </cell>
        </row>
        <row r="1644">
          <cell r="A1644" t="str">
            <v>South Dakota</v>
          </cell>
        </row>
        <row r="1645">
          <cell r="A1645" t="str">
            <v>Tennessee</v>
          </cell>
        </row>
        <row r="1646">
          <cell r="A1646" t="str">
            <v>Tennessee</v>
          </cell>
        </row>
        <row r="1647">
          <cell r="A1647" t="str">
            <v>Tennessee</v>
          </cell>
        </row>
        <row r="1648">
          <cell r="A1648" t="str">
            <v>Tennessee</v>
          </cell>
        </row>
        <row r="1649">
          <cell r="A1649" t="str">
            <v>Tennessee</v>
          </cell>
        </row>
        <row r="1650">
          <cell r="A1650" t="str">
            <v>Tennessee</v>
          </cell>
        </row>
        <row r="1651">
          <cell r="A1651" t="str">
            <v>Tennessee</v>
          </cell>
        </row>
        <row r="1652">
          <cell r="A1652" t="str">
            <v>Tennessee</v>
          </cell>
        </row>
        <row r="1653">
          <cell r="A1653" t="str">
            <v>Tennessee</v>
          </cell>
        </row>
        <row r="1654">
          <cell r="A1654" t="str">
            <v>Tennessee</v>
          </cell>
        </row>
        <row r="1655">
          <cell r="A1655" t="str">
            <v>Tennessee</v>
          </cell>
        </row>
        <row r="1656">
          <cell r="A1656" t="str">
            <v>Tennessee</v>
          </cell>
        </row>
        <row r="1657">
          <cell r="A1657" t="str">
            <v>Tennessee</v>
          </cell>
        </row>
        <row r="1658">
          <cell r="A1658" t="str">
            <v>Tennessee</v>
          </cell>
        </row>
        <row r="1659">
          <cell r="A1659" t="str">
            <v>Tennessee</v>
          </cell>
        </row>
        <row r="1660">
          <cell r="A1660" t="str">
            <v>Tennessee</v>
          </cell>
        </row>
        <row r="1661">
          <cell r="A1661" t="str">
            <v>Tennessee</v>
          </cell>
        </row>
        <row r="1662">
          <cell r="A1662" t="str">
            <v>Tennessee</v>
          </cell>
        </row>
        <row r="1663">
          <cell r="A1663" t="str">
            <v>Tennessee</v>
          </cell>
        </row>
        <row r="1664">
          <cell r="A1664" t="str">
            <v>Tennessee</v>
          </cell>
        </row>
        <row r="1665">
          <cell r="A1665" t="str">
            <v>Tennessee</v>
          </cell>
        </row>
        <row r="1666">
          <cell r="A1666" t="str">
            <v>Tennessee</v>
          </cell>
        </row>
        <row r="1667">
          <cell r="A1667" t="str">
            <v>Tennessee</v>
          </cell>
        </row>
        <row r="1668">
          <cell r="A1668" t="str">
            <v>Tennessee</v>
          </cell>
        </row>
        <row r="1669">
          <cell r="A1669" t="str">
            <v>Tennessee</v>
          </cell>
        </row>
        <row r="1670">
          <cell r="A1670" t="str">
            <v>Tennessee</v>
          </cell>
        </row>
        <row r="1671">
          <cell r="A1671" t="str">
            <v>Texas</v>
          </cell>
        </row>
        <row r="1672">
          <cell r="A1672" t="str">
            <v>Texas</v>
          </cell>
        </row>
        <row r="1673">
          <cell r="A1673" t="str">
            <v>Texas</v>
          </cell>
        </row>
        <row r="1674">
          <cell r="A1674" t="str">
            <v>Texas</v>
          </cell>
        </row>
        <row r="1675">
          <cell r="A1675" t="str">
            <v>Texas</v>
          </cell>
        </row>
        <row r="1676">
          <cell r="A1676" t="str">
            <v>Texas</v>
          </cell>
        </row>
        <row r="1677">
          <cell r="A1677" t="str">
            <v>Texas</v>
          </cell>
        </row>
        <row r="1678">
          <cell r="A1678" t="str">
            <v>Texas</v>
          </cell>
        </row>
        <row r="1679">
          <cell r="A1679" t="str">
            <v>Texas</v>
          </cell>
        </row>
        <row r="1680">
          <cell r="A1680" t="str">
            <v>Texas</v>
          </cell>
        </row>
        <row r="1681">
          <cell r="A1681" t="str">
            <v>Texas</v>
          </cell>
        </row>
        <row r="1682">
          <cell r="A1682" t="str">
            <v>Texas</v>
          </cell>
        </row>
        <row r="1683">
          <cell r="A1683" t="str">
            <v>Texas</v>
          </cell>
        </row>
        <row r="1684">
          <cell r="A1684" t="str">
            <v>Texas</v>
          </cell>
        </row>
        <row r="1685">
          <cell r="A1685" t="str">
            <v>Texas</v>
          </cell>
        </row>
        <row r="1686">
          <cell r="A1686" t="str">
            <v>Texas</v>
          </cell>
        </row>
        <row r="1687">
          <cell r="A1687" t="str">
            <v>Texas</v>
          </cell>
        </row>
        <row r="1688">
          <cell r="A1688" t="str">
            <v>Texas</v>
          </cell>
        </row>
        <row r="1689">
          <cell r="A1689" t="str">
            <v>Texas</v>
          </cell>
        </row>
        <row r="1690">
          <cell r="A1690" t="str">
            <v>Texas</v>
          </cell>
        </row>
        <row r="1691">
          <cell r="A1691" t="str">
            <v>Texas</v>
          </cell>
        </row>
        <row r="1692">
          <cell r="A1692" t="str">
            <v>Texas</v>
          </cell>
        </row>
        <row r="1693">
          <cell r="A1693" t="str">
            <v>Texas</v>
          </cell>
        </row>
        <row r="1694">
          <cell r="A1694" t="str">
            <v>Texas</v>
          </cell>
        </row>
        <row r="1695">
          <cell r="A1695" t="str">
            <v>Texas</v>
          </cell>
        </row>
        <row r="1696">
          <cell r="A1696" t="str">
            <v>Texas</v>
          </cell>
        </row>
        <row r="1697">
          <cell r="A1697" t="str">
            <v>Texas</v>
          </cell>
        </row>
        <row r="1698">
          <cell r="A1698" t="str">
            <v>Texas</v>
          </cell>
        </row>
        <row r="1699">
          <cell r="A1699" t="str">
            <v>Texas</v>
          </cell>
        </row>
        <row r="1700">
          <cell r="A1700" t="str">
            <v>Texas</v>
          </cell>
        </row>
        <row r="1701">
          <cell r="A1701" t="str">
            <v>Texas</v>
          </cell>
        </row>
        <row r="1702">
          <cell r="A1702" t="str">
            <v>Texas</v>
          </cell>
        </row>
        <row r="1703">
          <cell r="A1703" t="str">
            <v>Texas</v>
          </cell>
        </row>
        <row r="1704">
          <cell r="A1704" t="str">
            <v>Texas</v>
          </cell>
        </row>
        <row r="1705">
          <cell r="A1705" t="str">
            <v>Texas</v>
          </cell>
        </row>
        <row r="1706">
          <cell r="A1706" t="str">
            <v>Texas</v>
          </cell>
        </row>
        <row r="1707">
          <cell r="A1707" t="str">
            <v>Texas</v>
          </cell>
        </row>
        <row r="1708">
          <cell r="A1708" t="str">
            <v>Texas</v>
          </cell>
        </row>
        <row r="1709">
          <cell r="A1709" t="str">
            <v>Texas</v>
          </cell>
        </row>
        <row r="1710">
          <cell r="A1710" t="str">
            <v>Texas</v>
          </cell>
        </row>
        <row r="1711">
          <cell r="A1711" t="str">
            <v>Texas</v>
          </cell>
        </row>
        <row r="1712">
          <cell r="A1712" t="str">
            <v>Texas</v>
          </cell>
        </row>
        <row r="1713">
          <cell r="A1713" t="str">
            <v>Texas</v>
          </cell>
        </row>
        <row r="1714">
          <cell r="A1714" t="str">
            <v>Texas</v>
          </cell>
        </row>
        <row r="1715">
          <cell r="A1715" t="str">
            <v>Texas</v>
          </cell>
        </row>
        <row r="1716">
          <cell r="A1716" t="str">
            <v>Texas</v>
          </cell>
        </row>
        <row r="1717">
          <cell r="A1717" t="str">
            <v>Texas</v>
          </cell>
        </row>
        <row r="1718">
          <cell r="A1718" t="str">
            <v>Texas</v>
          </cell>
        </row>
        <row r="1719">
          <cell r="A1719" t="str">
            <v>Texas</v>
          </cell>
        </row>
        <row r="1720">
          <cell r="A1720" t="str">
            <v>Texas</v>
          </cell>
        </row>
        <row r="1721">
          <cell r="A1721" t="str">
            <v>Texas</v>
          </cell>
        </row>
        <row r="1722">
          <cell r="A1722" t="str">
            <v>Texas</v>
          </cell>
        </row>
        <row r="1723">
          <cell r="A1723" t="str">
            <v>Texas</v>
          </cell>
        </row>
        <row r="1724">
          <cell r="A1724" t="str">
            <v>Texas</v>
          </cell>
        </row>
        <row r="1725">
          <cell r="A1725" t="str">
            <v>Texas</v>
          </cell>
        </row>
        <row r="1726">
          <cell r="A1726" t="str">
            <v>Texas</v>
          </cell>
        </row>
        <row r="1727">
          <cell r="A1727" t="str">
            <v>Texas</v>
          </cell>
        </row>
        <row r="1728">
          <cell r="A1728" t="str">
            <v>Texas</v>
          </cell>
        </row>
        <row r="1729">
          <cell r="A1729" t="str">
            <v>Texas</v>
          </cell>
        </row>
        <row r="1730">
          <cell r="A1730" t="str">
            <v>Texas</v>
          </cell>
        </row>
        <row r="1731">
          <cell r="A1731" t="str">
            <v>Texas</v>
          </cell>
        </row>
        <row r="1732">
          <cell r="A1732" t="str">
            <v>Texas</v>
          </cell>
        </row>
        <row r="1733">
          <cell r="A1733" t="str">
            <v>Texas</v>
          </cell>
        </row>
        <row r="1734">
          <cell r="A1734" t="str">
            <v>Texas</v>
          </cell>
        </row>
        <row r="1735">
          <cell r="A1735" t="str">
            <v>Texas</v>
          </cell>
        </row>
        <row r="1736">
          <cell r="A1736" t="str">
            <v>Texas</v>
          </cell>
        </row>
        <row r="1737">
          <cell r="A1737" t="str">
            <v>Texas</v>
          </cell>
        </row>
        <row r="1738">
          <cell r="A1738" t="str">
            <v>Texas</v>
          </cell>
        </row>
        <row r="1739">
          <cell r="A1739" t="str">
            <v>Texas</v>
          </cell>
        </row>
        <row r="1740">
          <cell r="A1740" t="str">
            <v>Texas</v>
          </cell>
        </row>
        <row r="1741">
          <cell r="A1741" t="str">
            <v>Texas</v>
          </cell>
        </row>
        <row r="1742">
          <cell r="A1742" t="str">
            <v>Texas</v>
          </cell>
        </row>
        <row r="1743">
          <cell r="A1743" t="str">
            <v>Texas</v>
          </cell>
        </row>
        <row r="1744">
          <cell r="A1744" t="str">
            <v>Texas</v>
          </cell>
        </row>
        <row r="1745">
          <cell r="A1745" t="str">
            <v>Texas</v>
          </cell>
        </row>
        <row r="1746">
          <cell r="A1746" t="str">
            <v>Texas</v>
          </cell>
        </row>
        <row r="1747">
          <cell r="A1747" t="str">
            <v>Texas</v>
          </cell>
        </row>
        <row r="1748">
          <cell r="A1748" t="str">
            <v>Texas</v>
          </cell>
        </row>
        <row r="1749">
          <cell r="A1749" t="str">
            <v>Texas</v>
          </cell>
        </row>
        <row r="1750">
          <cell r="A1750" t="str">
            <v>Texas</v>
          </cell>
        </row>
        <row r="1751">
          <cell r="A1751" t="str">
            <v>Texas</v>
          </cell>
        </row>
        <row r="1752">
          <cell r="A1752" t="str">
            <v>Texas</v>
          </cell>
        </row>
        <row r="1753">
          <cell r="A1753" t="str">
            <v>Texas</v>
          </cell>
        </row>
        <row r="1754">
          <cell r="A1754" t="str">
            <v>Texas</v>
          </cell>
        </row>
        <row r="1755">
          <cell r="A1755" t="str">
            <v>Texas</v>
          </cell>
        </row>
        <row r="1756">
          <cell r="A1756" t="str">
            <v>Texas</v>
          </cell>
        </row>
        <row r="1757">
          <cell r="A1757" t="str">
            <v>Texas</v>
          </cell>
        </row>
        <row r="1758">
          <cell r="A1758" t="str">
            <v>Texas</v>
          </cell>
        </row>
        <row r="1759">
          <cell r="A1759" t="str">
            <v>Texas</v>
          </cell>
        </row>
        <row r="1760">
          <cell r="A1760" t="str">
            <v>Texas</v>
          </cell>
        </row>
        <row r="1761">
          <cell r="A1761" t="str">
            <v>Texas</v>
          </cell>
        </row>
        <row r="1762">
          <cell r="A1762" t="str">
            <v>Texas</v>
          </cell>
        </row>
        <row r="1763">
          <cell r="A1763" t="str">
            <v>Texas</v>
          </cell>
        </row>
        <row r="1764">
          <cell r="A1764" t="str">
            <v>Texas</v>
          </cell>
        </row>
        <row r="1765">
          <cell r="A1765" t="str">
            <v>Texas</v>
          </cell>
        </row>
        <row r="1766">
          <cell r="A1766" t="str">
            <v>Texas</v>
          </cell>
        </row>
        <row r="1767">
          <cell r="A1767" t="str">
            <v>Texas</v>
          </cell>
        </row>
        <row r="1768">
          <cell r="A1768" t="str">
            <v>Texas</v>
          </cell>
        </row>
        <row r="1769">
          <cell r="A1769" t="str">
            <v>Texas</v>
          </cell>
        </row>
        <row r="1770">
          <cell r="A1770" t="str">
            <v>Texas</v>
          </cell>
        </row>
        <row r="1771">
          <cell r="A1771" t="str">
            <v>Texas</v>
          </cell>
        </row>
        <row r="1772">
          <cell r="A1772" t="str">
            <v>Texas</v>
          </cell>
        </row>
        <row r="1773">
          <cell r="A1773" t="str">
            <v>Texas</v>
          </cell>
        </row>
        <row r="1774">
          <cell r="A1774" t="str">
            <v>Texas</v>
          </cell>
        </row>
        <row r="1775">
          <cell r="A1775" t="str">
            <v>Texas</v>
          </cell>
        </row>
        <row r="1776">
          <cell r="A1776" t="str">
            <v>Texas</v>
          </cell>
        </row>
        <row r="1777">
          <cell r="A1777" t="str">
            <v>Texas</v>
          </cell>
        </row>
        <row r="1778">
          <cell r="A1778" t="str">
            <v>Texas</v>
          </cell>
        </row>
        <row r="1779">
          <cell r="A1779" t="str">
            <v>Texas</v>
          </cell>
        </row>
        <row r="1780">
          <cell r="A1780" t="str">
            <v>Texas</v>
          </cell>
        </row>
        <row r="1781">
          <cell r="A1781" t="str">
            <v>Texas</v>
          </cell>
        </row>
        <row r="1782">
          <cell r="A1782" t="str">
            <v>Utah</v>
          </cell>
        </row>
        <row r="1783">
          <cell r="A1783" t="str">
            <v>Utah</v>
          </cell>
        </row>
        <row r="1784">
          <cell r="A1784" t="str">
            <v>Utah</v>
          </cell>
        </row>
        <row r="1785">
          <cell r="A1785" t="str">
            <v>Utah</v>
          </cell>
        </row>
        <row r="1786">
          <cell r="A1786" t="str">
            <v>Utah</v>
          </cell>
        </row>
        <row r="1787">
          <cell r="A1787" t="str">
            <v>Utah</v>
          </cell>
        </row>
        <row r="1788">
          <cell r="A1788" t="str">
            <v>Utah</v>
          </cell>
        </row>
        <row r="1789">
          <cell r="A1789" t="str">
            <v>Utah</v>
          </cell>
        </row>
        <row r="1790">
          <cell r="A1790" t="str">
            <v>Utah</v>
          </cell>
        </row>
        <row r="1791">
          <cell r="A1791" t="str">
            <v>Utah</v>
          </cell>
        </row>
        <row r="1792">
          <cell r="A1792" t="str">
            <v>Utah</v>
          </cell>
        </row>
        <row r="1793">
          <cell r="A1793" t="str">
            <v>Utah</v>
          </cell>
        </row>
        <row r="1794">
          <cell r="A1794" t="str">
            <v>Utah</v>
          </cell>
        </row>
        <row r="1795">
          <cell r="A1795" t="str">
            <v>Utah</v>
          </cell>
        </row>
        <row r="1796">
          <cell r="A1796" t="str">
            <v>Utah</v>
          </cell>
        </row>
        <row r="1797">
          <cell r="A1797" t="str">
            <v>Utah</v>
          </cell>
        </row>
        <row r="1798">
          <cell r="A1798" t="str">
            <v>Utah</v>
          </cell>
        </row>
        <row r="1799">
          <cell r="A1799" t="str">
            <v>Utah</v>
          </cell>
        </row>
        <row r="1800">
          <cell r="A1800" t="str">
            <v>Utah</v>
          </cell>
        </row>
        <row r="1801">
          <cell r="A1801" t="str">
            <v>Utah</v>
          </cell>
        </row>
        <row r="1802">
          <cell r="A1802" t="str">
            <v>Utah</v>
          </cell>
        </row>
        <row r="1803">
          <cell r="A1803" t="str">
            <v>Utah</v>
          </cell>
        </row>
        <row r="1804">
          <cell r="A1804" t="str">
            <v>Utah</v>
          </cell>
        </row>
        <row r="1805">
          <cell r="A1805" t="str">
            <v>Vermont</v>
          </cell>
        </row>
        <row r="1806">
          <cell r="A1806" t="str">
            <v>Vermont</v>
          </cell>
        </row>
        <row r="1807">
          <cell r="A1807" t="str">
            <v>Vermont</v>
          </cell>
        </row>
        <row r="1808">
          <cell r="A1808" t="str">
            <v>Vermont</v>
          </cell>
        </row>
        <row r="1809">
          <cell r="A1809" t="str">
            <v>Vermont</v>
          </cell>
        </row>
        <row r="1810">
          <cell r="A1810" t="str">
            <v>Vermont</v>
          </cell>
        </row>
        <row r="1811">
          <cell r="A1811" t="str">
            <v>Vermont</v>
          </cell>
        </row>
        <row r="1812">
          <cell r="A1812" t="str">
            <v>Vermont</v>
          </cell>
        </row>
        <row r="1813">
          <cell r="A1813" t="str">
            <v>Vermont</v>
          </cell>
        </row>
        <row r="1814">
          <cell r="A1814" t="str">
            <v>Virginia</v>
          </cell>
        </row>
        <row r="1815">
          <cell r="A1815" t="str">
            <v>Virginia</v>
          </cell>
        </row>
        <row r="1816">
          <cell r="A1816" t="str">
            <v>Virginia</v>
          </cell>
        </row>
        <row r="1817">
          <cell r="A1817" t="str">
            <v>Virginia</v>
          </cell>
        </row>
        <row r="1818">
          <cell r="A1818" t="str">
            <v>Virginia</v>
          </cell>
        </row>
        <row r="1819">
          <cell r="A1819" t="str">
            <v>Virginia</v>
          </cell>
        </row>
        <row r="1820">
          <cell r="A1820" t="str">
            <v>Virginia</v>
          </cell>
        </row>
        <row r="1821">
          <cell r="A1821" t="str">
            <v>Virginia</v>
          </cell>
        </row>
        <row r="1822">
          <cell r="A1822" t="str">
            <v>Virginia</v>
          </cell>
        </row>
        <row r="1823">
          <cell r="A1823" t="str">
            <v>Virginia</v>
          </cell>
        </row>
        <row r="1824">
          <cell r="A1824" t="str">
            <v>Virginia</v>
          </cell>
        </row>
        <row r="1825">
          <cell r="A1825" t="str">
            <v>Virginia</v>
          </cell>
        </row>
        <row r="1826">
          <cell r="A1826" t="str">
            <v>Virginia</v>
          </cell>
        </row>
        <row r="1827">
          <cell r="A1827" t="str">
            <v>Virginia</v>
          </cell>
        </row>
        <row r="1828">
          <cell r="A1828" t="str">
            <v>Virginia</v>
          </cell>
        </row>
        <row r="1829">
          <cell r="A1829" t="str">
            <v>Virginia</v>
          </cell>
        </row>
        <row r="1830">
          <cell r="A1830" t="str">
            <v>Virginia</v>
          </cell>
        </row>
        <row r="1831">
          <cell r="A1831" t="str">
            <v>Virginia</v>
          </cell>
        </row>
        <row r="1832">
          <cell r="A1832" t="str">
            <v>Virginia</v>
          </cell>
        </row>
        <row r="1833">
          <cell r="A1833" t="str">
            <v>Virginia</v>
          </cell>
        </row>
        <row r="1834">
          <cell r="A1834" t="str">
            <v>Virginia</v>
          </cell>
        </row>
        <row r="1835">
          <cell r="A1835" t="str">
            <v>Virginia</v>
          </cell>
        </row>
        <row r="1836">
          <cell r="A1836" t="str">
            <v>Virginia</v>
          </cell>
        </row>
        <row r="1837">
          <cell r="A1837" t="str">
            <v>Virginia</v>
          </cell>
        </row>
        <row r="1838">
          <cell r="A1838" t="str">
            <v>Virginia</v>
          </cell>
        </row>
        <row r="1839">
          <cell r="A1839" t="str">
            <v>Virginia</v>
          </cell>
        </row>
        <row r="1840">
          <cell r="A1840" t="str">
            <v>Virginia</v>
          </cell>
        </row>
        <row r="1841">
          <cell r="A1841" t="str">
            <v>Virginia</v>
          </cell>
        </row>
        <row r="1842">
          <cell r="A1842" t="str">
            <v>Virginia</v>
          </cell>
        </row>
        <row r="1843">
          <cell r="A1843" t="str">
            <v>Virginia</v>
          </cell>
        </row>
        <row r="1844">
          <cell r="A1844" t="str">
            <v>Virginia</v>
          </cell>
        </row>
        <row r="1845">
          <cell r="A1845" t="str">
            <v>Virginia</v>
          </cell>
        </row>
        <row r="1846">
          <cell r="A1846" t="str">
            <v>Virginia</v>
          </cell>
        </row>
        <row r="1847">
          <cell r="A1847" t="str">
            <v>Virginia</v>
          </cell>
        </row>
        <row r="1848">
          <cell r="A1848" t="str">
            <v>Virginia</v>
          </cell>
        </row>
        <row r="1849">
          <cell r="A1849" t="str">
            <v>Virginia</v>
          </cell>
        </row>
        <row r="1850">
          <cell r="A1850" t="str">
            <v>Virginia</v>
          </cell>
        </row>
        <row r="1851">
          <cell r="A1851" t="str">
            <v>Virginia</v>
          </cell>
        </row>
        <row r="1852">
          <cell r="A1852" t="str">
            <v>Virginia</v>
          </cell>
        </row>
        <row r="1853">
          <cell r="A1853" t="str">
            <v>Virginia</v>
          </cell>
        </row>
        <row r="1854">
          <cell r="A1854" t="str">
            <v>Virginia</v>
          </cell>
        </row>
        <row r="1855">
          <cell r="A1855" t="str">
            <v>Virginia</v>
          </cell>
        </row>
        <row r="1856">
          <cell r="A1856" t="str">
            <v>Virginia</v>
          </cell>
        </row>
        <row r="1857">
          <cell r="A1857" t="str">
            <v>Virginia</v>
          </cell>
        </row>
        <row r="1858">
          <cell r="A1858" t="str">
            <v>Virginia</v>
          </cell>
        </row>
        <row r="1859">
          <cell r="A1859" t="str">
            <v>Virginia</v>
          </cell>
        </row>
        <row r="1860">
          <cell r="A1860" t="str">
            <v>Virginia</v>
          </cell>
        </row>
        <row r="1861">
          <cell r="A1861" t="str">
            <v>Virginia</v>
          </cell>
        </row>
        <row r="1862">
          <cell r="A1862" t="str">
            <v>Virginia</v>
          </cell>
        </row>
        <row r="1863">
          <cell r="A1863" t="str">
            <v>Virginia</v>
          </cell>
        </row>
        <row r="1864">
          <cell r="A1864" t="str">
            <v>Virginia</v>
          </cell>
        </row>
        <row r="1865">
          <cell r="A1865" t="str">
            <v>Virginia</v>
          </cell>
        </row>
        <row r="1866">
          <cell r="A1866" t="str">
            <v>Virginia</v>
          </cell>
        </row>
        <row r="1867">
          <cell r="A1867" t="str">
            <v>Virginia</v>
          </cell>
        </row>
        <row r="1868">
          <cell r="A1868" t="str">
            <v>Virginia</v>
          </cell>
        </row>
        <row r="1869">
          <cell r="A1869" t="str">
            <v>Virginia</v>
          </cell>
        </row>
        <row r="1870">
          <cell r="A1870" t="str">
            <v>Virginia</v>
          </cell>
        </row>
        <row r="1871">
          <cell r="A1871" t="str">
            <v>Washington</v>
          </cell>
        </row>
        <row r="1872">
          <cell r="A1872" t="str">
            <v>Washington</v>
          </cell>
        </row>
        <row r="1873">
          <cell r="A1873" t="str">
            <v>Washington</v>
          </cell>
        </row>
        <row r="1874">
          <cell r="A1874" t="str">
            <v>Washington</v>
          </cell>
        </row>
        <row r="1875">
          <cell r="A1875" t="str">
            <v>Washington</v>
          </cell>
        </row>
        <row r="1876">
          <cell r="A1876" t="str">
            <v>Washington</v>
          </cell>
        </row>
        <row r="1877">
          <cell r="A1877" t="str">
            <v>Washington</v>
          </cell>
        </row>
        <row r="1878">
          <cell r="A1878" t="str">
            <v>Washington</v>
          </cell>
        </row>
        <row r="1879">
          <cell r="A1879" t="str">
            <v>Washington</v>
          </cell>
        </row>
        <row r="1880">
          <cell r="A1880" t="str">
            <v>Washington</v>
          </cell>
        </row>
        <row r="1881">
          <cell r="A1881" t="str">
            <v>Washington</v>
          </cell>
        </row>
        <row r="1882">
          <cell r="A1882" t="str">
            <v>Washington</v>
          </cell>
        </row>
        <row r="1883">
          <cell r="A1883" t="str">
            <v>Washington</v>
          </cell>
        </row>
        <row r="1884">
          <cell r="A1884" t="str">
            <v>Washington</v>
          </cell>
        </row>
        <row r="1885">
          <cell r="A1885" t="str">
            <v>Washington</v>
          </cell>
        </row>
        <row r="1886">
          <cell r="A1886" t="str">
            <v>Washington</v>
          </cell>
        </row>
        <row r="1887">
          <cell r="A1887" t="str">
            <v>Washington</v>
          </cell>
        </row>
        <row r="1888">
          <cell r="A1888" t="str">
            <v>Washington</v>
          </cell>
        </row>
        <row r="1889">
          <cell r="A1889" t="str">
            <v>Washington</v>
          </cell>
        </row>
        <row r="1890">
          <cell r="A1890" t="str">
            <v>Washington</v>
          </cell>
        </row>
        <row r="1891">
          <cell r="A1891" t="str">
            <v>Washington</v>
          </cell>
        </row>
        <row r="1892">
          <cell r="A1892" t="str">
            <v>Washington</v>
          </cell>
        </row>
        <row r="1893">
          <cell r="A1893" t="str">
            <v>Washington</v>
          </cell>
        </row>
        <row r="1894">
          <cell r="A1894" t="str">
            <v>Washington</v>
          </cell>
        </row>
        <row r="1895">
          <cell r="A1895" t="str">
            <v>Washington</v>
          </cell>
        </row>
        <row r="1896">
          <cell r="A1896" t="str">
            <v>Washington</v>
          </cell>
        </row>
        <row r="1897">
          <cell r="A1897" t="str">
            <v>Washington</v>
          </cell>
        </row>
        <row r="1898">
          <cell r="A1898" t="str">
            <v>Washington</v>
          </cell>
        </row>
        <row r="1899">
          <cell r="A1899" t="str">
            <v>Washington</v>
          </cell>
        </row>
        <row r="1900">
          <cell r="A1900" t="str">
            <v>Washington</v>
          </cell>
        </row>
        <row r="1901">
          <cell r="A1901" t="str">
            <v>Washington</v>
          </cell>
        </row>
        <row r="1902">
          <cell r="A1902" t="str">
            <v>Washington</v>
          </cell>
        </row>
        <row r="1903">
          <cell r="A1903" t="str">
            <v>Washington</v>
          </cell>
        </row>
        <row r="1904">
          <cell r="A1904" t="str">
            <v>Washington</v>
          </cell>
        </row>
        <row r="1905">
          <cell r="A1905" t="str">
            <v>Washington</v>
          </cell>
        </row>
        <row r="1906">
          <cell r="A1906" t="str">
            <v>Washington</v>
          </cell>
        </row>
        <row r="1907">
          <cell r="A1907" t="str">
            <v>Washington</v>
          </cell>
        </row>
        <row r="1908">
          <cell r="A1908" t="str">
            <v>Washington</v>
          </cell>
        </row>
        <row r="1909">
          <cell r="A1909" t="str">
            <v>Washington</v>
          </cell>
        </row>
        <row r="1910">
          <cell r="A1910" t="str">
            <v>Washington</v>
          </cell>
        </row>
        <row r="1911">
          <cell r="A1911" t="str">
            <v>Washington</v>
          </cell>
        </row>
        <row r="1912">
          <cell r="A1912" t="str">
            <v>West Virginia</v>
          </cell>
        </row>
        <row r="1913">
          <cell r="A1913" t="str">
            <v>West Virginia</v>
          </cell>
        </row>
        <row r="1914">
          <cell r="A1914" t="str">
            <v>West Virginia</v>
          </cell>
        </row>
        <row r="1915">
          <cell r="A1915" t="str">
            <v>West Virginia</v>
          </cell>
        </row>
        <row r="1916">
          <cell r="A1916" t="str">
            <v>West Virginia</v>
          </cell>
        </row>
        <row r="1917">
          <cell r="A1917" t="str">
            <v>West Virginia</v>
          </cell>
        </row>
        <row r="1918">
          <cell r="A1918" t="str">
            <v>West Virginia</v>
          </cell>
        </row>
        <row r="1919">
          <cell r="A1919" t="str">
            <v>West Virginia</v>
          </cell>
        </row>
        <row r="1920">
          <cell r="A1920" t="str">
            <v>West Virginia</v>
          </cell>
        </row>
        <row r="1921">
          <cell r="A1921" t="str">
            <v>West Virginia</v>
          </cell>
        </row>
        <row r="1922">
          <cell r="A1922" t="str">
            <v>West Virginia</v>
          </cell>
        </row>
        <row r="1923">
          <cell r="A1923" t="str">
            <v>West Virginia</v>
          </cell>
        </row>
        <row r="1924">
          <cell r="A1924" t="str">
            <v>Wisconsin</v>
          </cell>
        </row>
        <row r="1925">
          <cell r="A1925" t="str">
            <v>Wisconsin</v>
          </cell>
        </row>
        <row r="1926">
          <cell r="A1926" t="str">
            <v>Wisconsin</v>
          </cell>
        </row>
        <row r="1927">
          <cell r="A1927" t="str">
            <v>Wisconsin</v>
          </cell>
        </row>
        <row r="1928">
          <cell r="A1928" t="str">
            <v>Wisconsin</v>
          </cell>
        </row>
        <row r="1929">
          <cell r="A1929" t="str">
            <v>Wisconsin</v>
          </cell>
        </row>
        <row r="1930">
          <cell r="A1930" t="str">
            <v>Wisconsin</v>
          </cell>
        </row>
        <row r="1931">
          <cell r="A1931" t="str">
            <v>Wisconsin</v>
          </cell>
        </row>
        <row r="1932">
          <cell r="A1932" t="str">
            <v>Wisconsin</v>
          </cell>
        </row>
        <row r="1933">
          <cell r="A1933" t="str">
            <v>Wisconsin</v>
          </cell>
        </row>
        <row r="1934">
          <cell r="A1934" t="str">
            <v>Wisconsin</v>
          </cell>
        </row>
        <row r="1935">
          <cell r="A1935" t="str">
            <v>Wisconsin</v>
          </cell>
        </row>
        <row r="1936">
          <cell r="A1936" t="str">
            <v>Wisconsin</v>
          </cell>
        </row>
        <row r="1937">
          <cell r="A1937" t="str">
            <v>Wisconsin</v>
          </cell>
        </row>
        <row r="1938">
          <cell r="A1938" t="str">
            <v>Wisconsin</v>
          </cell>
        </row>
        <row r="1939">
          <cell r="A1939" t="str">
            <v>Wisconsin</v>
          </cell>
        </row>
        <row r="1940">
          <cell r="A1940" t="str">
            <v>Wisconsin</v>
          </cell>
        </row>
        <row r="1941">
          <cell r="A1941" t="str">
            <v>Wisconsin</v>
          </cell>
        </row>
        <row r="1942">
          <cell r="A1942" t="str">
            <v>Wisconsin</v>
          </cell>
        </row>
        <row r="1943">
          <cell r="A1943" t="str">
            <v>Wisconsin</v>
          </cell>
        </row>
        <row r="1944">
          <cell r="A1944" t="str">
            <v>Wisconsin</v>
          </cell>
        </row>
        <row r="1945">
          <cell r="A1945" t="str">
            <v>Wisconsin</v>
          </cell>
        </row>
        <row r="1946">
          <cell r="A1946" t="str">
            <v>Wisconsin</v>
          </cell>
        </row>
        <row r="1947">
          <cell r="A1947" t="str">
            <v>Wisconsin</v>
          </cell>
        </row>
        <row r="1948">
          <cell r="A1948" t="str">
            <v>Wisconsin</v>
          </cell>
        </row>
        <row r="1949">
          <cell r="A1949" t="str">
            <v>Wisconsin</v>
          </cell>
        </row>
        <row r="1950">
          <cell r="A1950" t="str">
            <v>Wisconsin</v>
          </cell>
        </row>
        <row r="1951">
          <cell r="A1951" t="str">
            <v>Wisconsin</v>
          </cell>
        </row>
        <row r="1952">
          <cell r="A1952" t="str">
            <v>Wisconsin</v>
          </cell>
        </row>
        <row r="1953">
          <cell r="A1953" t="str">
            <v>Wisconsin</v>
          </cell>
        </row>
        <row r="1954">
          <cell r="A1954" t="str">
            <v>Wisconsin</v>
          </cell>
        </row>
        <row r="1955">
          <cell r="A1955" t="str">
            <v>Wisconsin</v>
          </cell>
        </row>
        <row r="1956">
          <cell r="A1956" t="str">
            <v>Wisconsin</v>
          </cell>
        </row>
        <row r="1957">
          <cell r="A1957" t="str">
            <v>Wisconsin</v>
          </cell>
        </row>
        <row r="1958">
          <cell r="A1958" t="str">
            <v>Wisconsin</v>
          </cell>
        </row>
        <row r="1959">
          <cell r="A1959" t="str">
            <v>Wisconsin</v>
          </cell>
        </row>
        <row r="1960">
          <cell r="A1960" t="str">
            <v>Wisconsin</v>
          </cell>
        </row>
        <row r="1961">
          <cell r="A1961" t="str">
            <v>Wisconsin</v>
          </cell>
        </row>
        <row r="1962">
          <cell r="A1962" t="str">
            <v>Wisconsin</v>
          </cell>
        </row>
        <row r="1963">
          <cell r="A1963" t="str">
            <v>Wisconsin</v>
          </cell>
        </row>
        <row r="1964">
          <cell r="A1964" t="str">
            <v>Wisconsin</v>
          </cell>
        </row>
        <row r="1965">
          <cell r="A1965" t="str">
            <v>Wisconsin</v>
          </cell>
        </row>
        <row r="1966">
          <cell r="A1966" t="str">
            <v>Wisconsin</v>
          </cell>
        </row>
        <row r="1967">
          <cell r="A1967" t="str">
            <v>Wisconsin</v>
          </cell>
        </row>
        <row r="1968">
          <cell r="A1968" t="str">
            <v>Wisconsin</v>
          </cell>
        </row>
        <row r="1969">
          <cell r="A1969" t="str">
            <v>Wisconsin</v>
          </cell>
        </row>
        <row r="1970">
          <cell r="A1970" t="str">
            <v>Wisconsin</v>
          </cell>
        </row>
        <row r="1971">
          <cell r="A1971" t="str">
            <v>Wyoming</v>
          </cell>
        </row>
        <row r="1972">
          <cell r="A1972" t="str">
            <v>Wyoming</v>
          </cell>
        </row>
        <row r="1973">
          <cell r="A1973" t="str">
            <v>Wyoming</v>
          </cell>
        </row>
        <row r="1974">
          <cell r="A1974" t="str">
            <v>Wyoming</v>
          </cell>
        </row>
        <row r="1975">
          <cell r="A1975" t="str">
            <v>Wyoming</v>
          </cell>
        </row>
        <row r="1976">
          <cell r="A1976" t="str">
            <v>Wyoming</v>
          </cell>
        </row>
        <row r="1977">
          <cell r="A1977" t="str">
            <v>Wyoming</v>
          </cell>
        </row>
        <row r="1978">
          <cell r="A1978" t="str">
            <v>Wyoming</v>
          </cell>
        </row>
        <row r="1979">
          <cell r="A1979" t="str">
            <v>Wyoming</v>
          </cell>
        </row>
        <row r="1980">
          <cell r="A1980" t="str">
            <v>Wyoming</v>
          </cell>
        </row>
        <row r="1981">
          <cell r="A1981" t="str">
            <v>Wyoming</v>
          </cell>
        </row>
        <row r="1982">
          <cell r="A1982" t="str">
            <v>Wyoming</v>
          </cell>
        </row>
        <row r="1983">
          <cell r="A1983" t="str">
            <v>Wyoming</v>
          </cell>
        </row>
        <row r="1984">
          <cell r="A1984" t="str">
            <v>Wyoming</v>
          </cell>
        </row>
        <row r="1985">
          <cell r="A1985" t="str">
            <v>Wyoming</v>
          </cell>
        </row>
        <row r="1986">
          <cell r="A1986" t="str">
            <v>Wyoming</v>
          </cell>
        </row>
        <row r="1987">
          <cell r="A1987" t="str">
            <v>Wyoming</v>
          </cell>
        </row>
        <row r="1988">
          <cell r="A1988" t="str">
            <v>Wyoming</v>
          </cell>
        </row>
        <row r="1989">
          <cell r="A1989" t="str">
            <v>Wyoming</v>
          </cell>
        </row>
        <row r="1990">
          <cell r="A1990" t="str">
            <v>Wyoming</v>
          </cell>
        </row>
        <row r="1991">
          <cell r="A1991" t="str">
            <v>Wyoming</v>
          </cell>
        </row>
        <row r="1992">
          <cell r="A1992" t="str">
            <v>Wyoming</v>
          </cell>
        </row>
        <row r="1993">
          <cell r="A1993" t="str">
            <v>Wyoming</v>
          </cell>
        </row>
        <row r="1994">
          <cell r="A1994" t="str">
            <v>Wyoming</v>
          </cell>
        </row>
        <row r="1995">
          <cell r="A1995" t="str">
            <v>Wyoming</v>
          </cell>
        </row>
        <row r="1996">
          <cell r="A1996" t="str">
            <v>Wyoming</v>
          </cell>
        </row>
        <row r="1997">
          <cell r="A1997" t="str">
            <v>Wyoming</v>
          </cell>
        </row>
        <row r="1998">
          <cell r="A1998" t="str">
            <v>Wyoming</v>
          </cell>
        </row>
        <row r="1999">
          <cell r="A1999" t="str">
            <v>Wyoming</v>
          </cell>
        </row>
      </sheetData>
      <sheetData sheetId="6">
        <row r="1">
          <cell r="A1" t="str">
            <v>States</v>
          </cell>
        </row>
        <row r="2">
          <cell r="A2" t="str">
            <v>Alabama</v>
          </cell>
        </row>
        <row r="3">
          <cell r="A3" t="str">
            <v>Alaska</v>
          </cell>
        </row>
        <row r="4">
          <cell r="A4" t="str">
            <v>Arizona</v>
          </cell>
        </row>
        <row r="5">
          <cell r="A5" t="str">
            <v>Arkansas</v>
          </cell>
        </row>
        <row r="6">
          <cell r="A6" t="str">
            <v>California</v>
          </cell>
        </row>
        <row r="7">
          <cell r="A7" t="str">
            <v>Colorado</v>
          </cell>
        </row>
        <row r="8">
          <cell r="A8" t="str">
            <v>Connecticut</v>
          </cell>
        </row>
        <row r="9">
          <cell r="A9" t="str">
            <v>DC</v>
          </cell>
        </row>
        <row r="10">
          <cell r="A10" t="str">
            <v>Delaware</v>
          </cell>
        </row>
        <row r="11">
          <cell r="A11" t="str">
            <v>Florida</v>
          </cell>
        </row>
        <row r="12">
          <cell r="A12" t="str">
            <v>Georgia</v>
          </cell>
        </row>
        <row r="13">
          <cell r="A13" t="str">
            <v>Hawaii</v>
          </cell>
        </row>
        <row r="14">
          <cell r="A14" t="str">
            <v>Idaho</v>
          </cell>
        </row>
        <row r="15">
          <cell r="A15" t="str">
            <v>Illinois</v>
          </cell>
        </row>
        <row r="16">
          <cell r="A16" t="str">
            <v>Indiana</v>
          </cell>
        </row>
        <row r="17">
          <cell r="A17" t="str">
            <v>Iowa</v>
          </cell>
        </row>
        <row r="18">
          <cell r="A18" t="str">
            <v>Kansas</v>
          </cell>
        </row>
        <row r="19">
          <cell r="A19" t="str">
            <v>Kentucky</v>
          </cell>
        </row>
        <row r="20">
          <cell r="A20" t="str">
            <v>Louisiana</v>
          </cell>
        </row>
        <row r="21">
          <cell r="A21" t="str">
            <v>Maine</v>
          </cell>
        </row>
        <row r="22">
          <cell r="A22" t="str">
            <v>Maryland</v>
          </cell>
        </row>
        <row r="23">
          <cell r="A23" t="str">
            <v>Massachusetts</v>
          </cell>
        </row>
        <row r="24">
          <cell r="A24" t="str">
            <v>Michigan</v>
          </cell>
        </row>
        <row r="25">
          <cell r="A25" t="str">
            <v>Minnesota</v>
          </cell>
        </row>
        <row r="26">
          <cell r="A26" t="str">
            <v>Mississippi</v>
          </cell>
        </row>
        <row r="27">
          <cell r="A27" t="str">
            <v>Missouri</v>
          </cell>
        </row>
        <row r="28">
          <cell r="A28" t="str">
            <v>Montana</v>
          </cell>
        </row>
        <row r="29">
          <cell r="A29" t="str">
            <v>Nebraska</v>
          </cell>
        </row>
        <row r="30">
          <cell r="A30" t="str">
            <v>Nevada</v>
          </cell>
        </row>
        <row r="31">
          <cell r="A31" t="str">
            <v>New Hampshire</v>
          </cell>
        </row>
        <row r="32">
          <cell r="A32" t="str">
            <v>New Jersey</v>
          </cell>
        </row>
        <row r="33">
          <cell r="A33" t="str">
            <v>New Mexico</v>
          </cell>
        </row>
        <row r="34">
          <cell r="A34" t="str">
            <v>New York</v>
          </cell>
        </row>
        <row r="35">
          <cell r="A35" t="str">
            <v>North Carolina</v>
          </cell>
        </row>
        <row r="36">
          <cell r="A36" t="str">
            <v>North Dakota</v>
          </cell>
        </row>
        <row r="37">
          <cell r="A37" t="str">
            <v>Ohio</v>
          </cell>
        </row>
        <row r="38">
          <cell r="A38" t="str">
            <v>Oklahoma</v>
          </cell>
        </row>
        <row r="39">
          <cell r="A39" t="str">
            <v>Oregon</v>
          </cell>
        </row>
        <row r="40">
          <cell r="A40" t="str">
            <v>Pennsylvania</v>
          </cell>
        </row>
        <row r="41">
          <cell r="A41" t="str">
            <v>Rhode Island</v>
          </cell>
        </row>
        <row r="42">
          <cell r="A42" t="str">
            <v>South Carolina</v>
          </cell>
        </row>
        <row r="43">
          <cell r="A43" t="str">
            <v>South Dakota</v>
          </cell>
        </row>
        <row r="44">
          <cell r="A44" t="str">
            <v>Tennessee</v>
          </cell>
        </row>
        <row r="45">
          <cell r="A45" t="str">
            <v>Texas</v>
          </cell>
        </row>
        <row r="46">
          <cell r="A46" t="str">
            <v>Utah</v>
          </cell>
        </row>
        <row r="47">
          <cell r="A47" t="str">
            <v>Vermont</v>
          </cell>
        </row>
        <row r="48">
          <cell r="A48" t="str">
            <v>Virginia</v>
          </cell>
        </row>
        <row r="49">
          <cell r="A49" t="str">
            <v>Washington</v>
          </cell>
        </row>
        <row r="50">
          <cell r="A50" t="str">
            <v>West Virginia</v>
          </cell>
        </row>
        <row r="51">
          <cell r="A51" t="str">
            <v>Wisconsin</v>
          </cell>
        </row>
        <row r="52">
          <cell r="A52" t="str">
            <v>Wyoming</v>
          </cell>
        </row>
      </sheetData>
      <sheetData sheetId="7">
        <row r="6">
          <cell r="C6" t="str">
            <v>Hourly</v>
          </cell>
        </row>
        <row r="7">
          <cell r="C7" t="str">
            <v>Daily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0 6G 1150rpm"/>
      <sheetName val="Impeller 6G 1150"/>
      <sheetName val="Efficiency 6G 1150"/>
      <sheetName val="Brake Horsepower 6G 1150"/>
      <sheetName val="1510 6G 1150 Curve Full"/>
      <sheetName val="1510 6G 1150 Curve"/>
      <sheetName val="Design Point System Curve"/>
      <sheetName val="System Curve - Design"/>
      <sheetName val="Design Impeller from Largest"/>
      <sheetName val="Impeller Size Estimate"/>
      <sheetName val="75 Pct"/>
      <sheetName val="75 Pct Point"/>
      <sheetName val="75 Pct System Curve"/>
      <sheetName val="75 Pct Design"/>
      <sheetName val="75 Pct Speed Estimate "/>
      <sheetName val="75 Pct  Speed"/>
      <sheetName val="75 Pct Speed Estimate Tweak"/>
      <sheetName val="75 Pct Tweaked Speed"/>
      <sheetName val="50 Pct"/>
      <sheetName val="50 Pct Speed Estimate Tweak"/>
      <sheetName val="50 Pct Tweaked Speed"/>
      <sheetName val="25 Pct "/>
      <sheetName val="25 Pct Speed Estimate Tweak"/>
      <sheetName val="25 Pct Tweaked Speed"/>
      <sheetName val="12.5 Pct"/>
      <sheetName val="12.5 Pct Speed Estimate Tweak"/>
      <sheetName val="12.5 Pct Tweaked Speed"/>
      <sheetName val="Summary"/>
      <sheetName val="Motor Eff Data"/>
      <sheetName val="30hp Motor Eff Curve"/>
      <sheetName val="VFD Data &gt;= 20 hp"/>
      <sheetName val="30hp VFD Eff Cur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1">
          <cell r="B11">
            <v>1300</v>
          </cell>
          <cell r="N11">
            <v>70</v>
          </cell>
        </row>
        <row r="12">
          <cell r="B12">
            <v>975</v>
          </cell>
          <cell r="N12">
            <v>52.5</v>
          </cell>
        </row>
        <row r="13">
          <cell r="B13">
            <v>650</v>
          </cell>
          <cell r="N13">
            <v>40</v>
          </cell>
        </row>
        <row r="14">
          <cell r="B14">
            <v>325</v>
          </cell>
          <cell r="N14">
            <v>32.5</v>
          </cell>
        </row>
        <row r="15">
          <cell r="B15">
            <v>162.5</v>
          </cell>
          <cell r="N15">
            <v>30.625</v>
          </cell>
        </row>
      </sheetData>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25.xml"/><Relationship Id="rId1" Type="http://schemas.openxmlformats.org/officeDocument/2006/relationships/printerSettings" Target="../printerSettings/printerSettings3.bin"/><Relationship Id="rId6" Type="http://schemas.openxmlformats.org/officeDocument/2006/relationships/oleObject" Target="../embeddings/oleObject17.bin"/><Relationship Id="rId5" Type="http://schemas.openxmlformats.org/officeDocument/2006/relationships/image" Target="../media/image3.emf"/><Relationship Id="rId4" Type="http://schemas.openxmlformats.org/officeDocument/2006/relationships/oleObject" Target="../embeddings/oleObject16.bin"/><Relationship Id="rId9" Type="http://schemas.openxmlformats.org/officeDocument/2006/relationships/image" Target="../media/image5.emf"/></Relationships>
</file>

<file path=xl/worksheets/_rels/sheet11.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oleObject" Target="../embeddings/oleObject19.bin"/><Relationship Id="rId7" Type="http://schemas.openxmlformats.org/officeDocument/2006/relationships/oleObject" Target="../embeddings/oleObject21.bin"/><Relationship Id="rId2" Type="http://schemas.openxmlformats.org/officeDocument/2006/relationships/vmlDrawing" Target="../drawings/vmlDrawing7.vml"/><Relationship Id="rId1" Type="http://schemas.openxmlformats.org/officeDocument/2006/relationships/drawing" Target="../drawings/drawing26.xml"/><Relationship Id="rId6" Type="http://schemas.openxmlformats.org/officeDocument/2006/relationships/image" Target="../media/image12.emf"/><Relationship Id="rId5" Type="http://schemas.openxmlformats.org/officeDocument/2006/relationships/oleObject" Target="../embeddings/oleObject20.bin"/><Relationship Id="rId4" Type="http://schemas.openxmlformats.org/officeDocument/2006/relationships/image" Target="../media/image9.emf"/></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3" Type="http://schemas.openxmlformats.org/officeDocument/2006/relationships/vmlDrawing" Target="../drawings/vmlDrawing8.vml"/><Relationship Id="rId7" Type="http://schemas.openxmlformats.org/officeDocument/2006/relationships/image" Target="../media/image4.emf"/><Relationship Id="rId2" Type="http://schemas.openxmlformats.org/officeDocument/2006/relationships/drawing" Target="../drawings/drawing29.xml"/><Relationship Id="rId1" Type="http://schemas.openxmlformats.org/officeDocument/2006/relationships/printerSettings" Target="../printerSettings/printerSettings4.bin"/><Relationship Id="rId6" Type="http://schemas.openxmlformats.org/officeDocument/2006/relationships/oleObject" Target="../embeddings/oleObject23.bin"/><Relationship Id="rId5" Type="http://schemas.openxmlformats.org/officeDocument/2006/relationships/image" Target="../media/image3.emf"/><Relationship Id="rId4" Type="http://schemas.openxmlformats.org/officeDocument/2006/relationships/oleObject" Target="../embeddings/oleObject22.bin"/><Relationship Id="rId9" Type="http://schemas.openxmlformats.org/officeDocument/2006/relationships/image" Target="../media/image5.emf"/></Relationships>
</file>

<file path=xl/worksheets/_rels/sheet13.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oleObject" Target="../embeddings/oleObject25.bin"/><Relationship Id="rId7" Type="http://schemas.openxmlformats.org/officeDocument/2006/relationships/oleObject" Target="../embeddings/oleObject27.bin"/><Relationship Id="rId2" Type="http://schemas.openxmlformats.org/officeDocument/2006/relationships/vmlDrawing" Target="../drawings/vmlDrawing9.vml"/><Relationship Id="rId1" Type="http://schemas.openxmlformats.org/officeDocument/2006/relationships/drawing" Target="../drawings/drawing30.xml"/><Relationship Id="rId6" Type="http://schemas.openxmlformats.org/officeDocument/2006/relationships/image" Target="../media/image12.emf"/><Relationship Id="rId5" Type="http://schemas.openxmlformats.org/officeDocument/2006/relationships/oleObject" Target="../embeddings/oleObject26.bin"/><Relationship Id="rId4" Type="http://schemas.openxmlformats.org/officeDocument/2006/relationships/image" Target="../media/image9.emf"/></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0.bin"/><Relationship Id="rId3" Type="http://schemas.openxmlformats.org/officeDocument/2006/relationships/vmlDrawing" Target="../drawings/vmlDrawing10.vml"/><Relationship Id="rId7" Type="http://schemas.openxmlformats.org/officeDocument/2006/relationships/image" Target="../media/image4.emf"/><Relationship Id="rId2" Type="http://schemas.openxmlformats.org/officeDocument/2006/relationships/drawing" Target="../drawings/drawing33.xml"/><Relationship Id="rId1" Type="http://schemas.openxmlformats.org/officeDocument/2006/relationships/printerSettings" Target="../printerSettings/printerSettings5.bin"/><Relationship Id="rId6" Type="http://schemas.openxmlformats.org/officeDocument/2006/relationships/oleObject" Target="../embeddings/oleObject29.bin"/><Relationship Id="rId5" Type="http://schemas.openxmlformats.org/officeDocument/2006/relationships/image" Target="../media/image3.emf"/><Relationship Id="rId4" Type="http://schemas.openxmlformats.org/officeDocument/2006/relationships/oleObject" Target="../embeddings/oleObject28.bin"/><Relationship Id="rId9" Type="http://schemas.openxmlformats.org/officeDocument/2006/relationships/image" Target="../media/image5.emf"/></Relationships>
</file>

<file path=xl/worksheets/_rels/sheet15.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oleObject" Target="../embeddings/oleObject31.bin"/><Relationship Id="rId7" Type="http://schemas.openxmlformats.org/officeDocument/2006/relationships/oleObject" Target="../embeddings/oleObject33.bin"/><Relationship Id="rId2" Type="http://schemas.openxmlformats.org/officeDocument/2006/relationships/vmlDrawing" Target="../drawings/vmlDrawing11.vml"/><Relationship Id="rId1" Type="http://schemas.openxmlformats.org/officeDocument/2006/relationships/drawing" Target="../drawings/drawing34.xml"/><Relationship Id="rId6" Type="http://schemas.openxmlformats.org/officeDocument/2006/relationships/image" Target="../media/image12.emf"/><Relationship Id="rId5" Type="http://schemas.openxmlformats.org/officeDocument/2006/relationships/oleObject" Target="../embeddings/oleObject32.bin"/><Relationship Id="rId4" Type="http://schemas.openxmlformats.org/officeDocument/2006/relationships/image" Target="../media/image9.emf"/></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bin"/><Relationship Id="rId1" Type="http://schemas.openxmlformats.org/officeDocument/2006/relationships/hyperlink" Target="https://www1.eere.energy.gov/manufacturing/tech_assistance/pdfs/motor_tip_sheet11.pdf" TargetMode="External"/></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6.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6.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oleObject" Target="../embeddings/oleObject4.bin"/><Relationship Id="rId7" Type="http://schemas.openxmlformats.org/officeDocument/2006/relationships/oleObject" Target="../embeddings/oleObject6.bin"/><Relationship Id="rId2" Type="http://schemas.openxmlformats.org/officeDocument/2006/relationships/vmlDrawing" Target="../drawings/vmlDrawing2.vml"/><Relationship Id="rId1" Type="http://schemas.openxmlformats.org/officeDocument/2006/relationships/drawing" Target="../drawings/drawing9.xml"/><Relationship Id="rId6" Type="http://schemas.openxmlformats.org/officeDocument/2006/relationships/image" Target="../media/image9.emf"/><Relationship Id="rId5" Type="http://schemas.openxmlformats.org/officeDocument/2006/relationships/oleObject" Target="../embeddings/oleObject5.bin"/><Relationship Id="rId4" Type="http://schemas.openxmlformats.org/officeDocument/2006/relationships/image" Target="../media/image8.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12.xml"/><Relationship Id="rId1" Type="http://schemas.openxmlformats.org/officeDocument/2006/relationships/printerSettings" Target="../printerSettings/printerSettings2.bin"/><Relationship Id="rId6" Type="http://schemas.openxmlformats.org/officeDocument/2006/relationships/oleObject" Target="../embeddings/oleObject8.bin"/><Relationship Id="rId5" Type="http://schemas.openxmlformats.org/officeDocument/2006/relationships/image" Target="../media/image3.emf"/><Relationship Id="rId4" Type="http://schemas.openxmlformats.org/officeDocument/2006/relationships/oleObject" Target="../embeddings/oleObject7.bin"/><Relationship Id="rId9" Type="http://schemas.openxmlformats.org/officeDocument/2006/relationships/image" Target="../media/image5.emf"/></Relationships>
</file>

<file path=xl/worksheets/_rels/sheet8.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oleObject" Target="../embeddings/oleObject10.bin"/><Relationship Id="rId7" Type="http://schemas.openxmlformats.org/officeDocument/2006/relationships/oleObject" Target="../embeddings/oleObject12.bin"/><Relationship Id="rId2" Type="http://schemas.openxmlformats.org/officeDocument/2006/relationships/vmlDrawing" Target="../drawings/vmlDrawing4.vml"/><Relationship Id="rId1" Type="http://schemas.openxmlformats.org/officeDocument/2006/relationships/drawing" Target="../drawings/drawing19.xml"/><Relationship Id="rId6" Type="http://schemas.openxmlformats.org/officeDocument/2006/relationships/image" Target="../media/image12.emf"/><Relationship Id="rId5" Type="http://schemas.openxmlformats.org/officeDocument/2006/relationships/oleObject" Target="../embeddings/oleObject11.bin"/><Relationship Id="rId4" Type="http://schemas.openxmlformats.org/officeDocument/2006/relationships/image" Target="../media/image9.emf"/></Relationships>
</file>

<file path=xl/worksheets/_rels/sheet9.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oleObject" Target="../embeddings/oleObject13.bin"/><Relationship Id="rId7" Type="http://schemas.openxmlformats.org/officeDocument/2006/relationships/oleObject" Target="../embeddings/oleObject15.bin"/><Relationship Id="rId2" Type="http://schemas.openxmlformats.org/officeDocument/2006/relationships/vmlDrawing" Target="../drawings/vmlDrawing5.vml"/><Relationship Id="rId1" Type="http://schemas.openxmlformats.org/officeDocument/2006/relationships/drawing" Target="../drawings/drawing22.xml"/><Relationship Id="rId6" Type="http://schemas.openxmlformats.org/officeDocument/2006/relationships/image" Target="../media/image12.emf"/><Relationship Id="rId5" Type="http://schemas.openxmlformats.org/officeDocument/2006/relationships/oleObject" Target="../embeddings/oleObject14.bin"/><Relationship Id="rId4"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0:G23"/>
  <sheetViews>
    <sheetView workbookViewId="0"/>
  </sheetViews>
  <sheetFormatPr defaultRowHeight="14.35" x14ac:dyDescent="0.5"/>
  <cols>
    <col min="1" max="1" width="18.41015625" customWidth="1"/>
    <col min="2" max="2" width="29.703125" customWidth="1"/>
    <col min="6" max="6" width="15.703125" customWidth="1"/>
  </cols>
  <sheetData>
    <row r="10" spans="1:2" ht="18.7" x14ac:dyDescent="0.5">
      <c r="A10" s="1" t="s">
        <v>0</v>
      </c>
      <c r="B10" s="2"/>
    </row>
    <row r="11" spans="1:2" ht="18.7" x14ac:dyDescent="0.5">
      <c r="A11" s="1" t="s">
        <v>1</v>
      </c>
      <c r="B11" s="2"/>
    </row>
    <row r="12" spans="1:2" ht="18.7" x14ac:dyDescent="0.5">
      <c r="A12" s="3" t="s">
        <v>2</v>
      </c>
      <c r="B12" s="2"/>
    </row>
    <row r="13" spans="1:2" ht="18.7" x14ac:dyDescent="0.8">
      <c r="A13" s="4" t="s">
        <v>3</v>
      </c>
      <c r="B13" s="5">
        <v>42092</v>
      </c>
    </row>
    <row r="14" spans="1:2" ht="18.7" x14ac:dyDescent="0.8">
      <c r="A14" s="4" t="s">
        <v>4</v>
      </c>
      <c r="B14" s="6" t="s">
        <v>5</v>
      </c>
    </row>
    <row r="15" spans="1:2" ht="18.7" x14ac:dyDescent="0.8">
      <c r="A15" s="4" t="s">
        <v>6</v>
      </c>
      <c r="B15" s="6" t="s">
        <v>7</v>
      </c>
    </row>
    <row r="16" spans="1:2" ht="18.7" x14ac:dyDescent="0.8">
      <c r="A16" s="4" t="s">
        <v>8</v>
      </c>
      <c r="B16" s="6" t="s">
        <v>9</v>
      </c>
    </row>
    <row r="17" spans="1:7" ht="18.7" x14ac:dyDescent="0.5">
      <c r="A17" s="98"/>
      <c r="B17" s="237" t="s">
        <v>139</v>
      </c>
      <c r="C17" s="237"/>
      <c r="D17" s="237"/>
      <c r="E17" s="237"/>
      <c r="F17" s="237"/>
      <c r="G17" s="98"/>
    </row>
    <row r="18" spans="1:7" ht="18.7" x14ac:dyDescent="0.5">
      <c r="A18" s="100"/>
      <c r="B18" s="237" t="s">
        <v>140</v>
      </c>
      <c r="C18" s="237"/>
      <c r="D18" s="237"/>
      <c r="E18" s="237"/>
      <c r="F18" s="237"/>
      <c r="G18" s="100"/>
    </row>
    <row r="19" spans="1:7" ht="18.7" x14ac:dyDescent="0.5">
      <c r="A19" s="101"/>
      <c r="B19" s="237" t="s">
        <v>141</v>
      </c>
      <c r="C19" s="237"/>
      <c r="D19" s="237"/>
      <c r="E19" s="237"/>
      <c r="F19" s="237"/>
      <c r="G19" s="101"/>
    </row>
    <row r="20" spans="1:7" ht="18.7" x14ac:dyDescent="0.5">
      <c r="A20" s="102"/>
      <c r="B20" s="237" t="s">
        <v>142</v>
      </c>
      <c r="C20" s="237"/>
      <c r="D20" s="237"/>
      <c r="E20" s="237"/>
      <c r="F20" s="237"/>
      <c r="G20" s="102"/>
    </row>
    <row r="21" spans="1:7" ht="18.7" x14ac:dyDescent="0.5">
      <c r="A21" s="103"/>
      <c r="B21" s="237" t="s">
        <v>143</v>
      </c>
      <c r="C21" s="237"/>
      <c r="D21" s="237"/>
      <c r="E21" s="237"/>
      <c r="F21" s="237"/>
      <c r="G21" s="103"/>
    </row>
    <row r="22" spans="1:7" ht="18.7" x14ac:dyDescent="0.5">
      <c r="A22" s="104"/>
      <c r="B22" s="237" t="s">
        <v>144</v>
      </c>
      <c r="C22" s="237"/>
      <c r="D22" s="237"/>
      <c r="E22" s="237"/>
      <c r="F22" s="237"/>
      <c r="G22" s="104"/>
    </row>
    <row r="23" spans="1:7" ht="18.7" x14ac:dyDescent="0.5">
      <c r="A23" s="105"/>
      <c r="B23" s="237" t="s">
        <v>146</v>
      </c>
      <c r="C23" s="237"/>
      <c r="D23" s="237"/>
      <c r="E23" s="237"/>
      <c r="F23" s="237"/>
      <c r="G23" s="105"/>
    </row>
  </sheetData>
  <mergeCells count="7">
    <mergeCell ref="B22:F22"/>
    <mergeCell ref="B23:F23"/>
    <mergeCell ref="B17:F17"/>
    <mergeCell ref="B18:F18"/>
    <mergeCell ref="B19:F19"/>
    <mergeCell ref="B20:F20"/>
    <mergeCell ref="B21:F21"/>
  </mergeCells>
  <hyperlinks>
    <hyperlink ref="B23:F23" location="Summary!A1" display="Click here to go to the summary tab"/>
    <hyperlink ref="B22:F22" location="'12.5 Pct'!A1" display="Click here to go to the 12.5% load condition tabs"/>
    <hyperlink ref="B21:F21" location="'25 Pct '!A1" display="Click here to go to the 25% load condition tabs"/>
    <hyperlink ref="B20:F20" location="'50 Pct'!A1" display="Click here to go to the 50% load condition tabs"/>
    <hyperlink ref="B19:F19" location="'75 Pct'!A1" display="Click here to go to the 75% load condition tabs"/>
    <hyperlink ref="B18:F18" location="'Design Point System Curve'!A1" display="Click here to go to the design condition tabs"/>
    <hyperlink ref="B17:F17" location="'1510 6G 1150rpm'!A1" display="Click here to go to the data used to plot the digital pump curve se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7"/>
  </sheetPr>
  <dimension ref="A1:N73"/>
  <sheetViews>
    <sheetView defaultGridColor="0" topLeftCell="A28" colorId="22" workbookViewId="0">
      <selection activeCell="A54" sqref="A54"/>
    </sheetView>
  </sheetViews>
  <sheetFormatPr defaultColWidth="15.703125" defaultRowHeight="18.7" x14ac:dyDescent="0.5"/>
  <cols>
    <col min="1" max="1" width="22.41015625" style="10" customWidth="1"/>
    <col min="2" max="2" width="36.703125" style="11" customWidth="1"/>
    <col min="3" max="3" width="16.703125" style="10" customWidth="1"/>
    <col min="4" max="4" width="13.87890625" style="10" customWidth="1"/>
    <col min="5" max="5" width="15.703125" style="10"/>
    <col min="6" max="7" width="16.703125" style="10" customWidth="1"/>
    <col min="8" max="8" width="19.5859375" style="10" customWidth="1"/>
    <col min="9" max="9" width="15.703125" style="10"/>
    <col min="10" max="10" width="16.703125" style="10" customWidth="1"/>
    <col min="11" max="11" width="19.5859375" style="10" customWidth="1"/>
    <col min="12" max="13" width="15.703125" style="10"/>
    <col min="14" max="15" width="21" style="10" customWidth="1"/>
    <col min="16" max="17" width="22.41015625" style="10" customWidth="1"/>
    <col min="18" max="18" width="15.703125" style="10"/>
    <col min="19" max="19" width="16.703125" style="10" customWidth="1"/>
    <col min="20" max="20" width="21" style="10" customWidth="1"/>
    <col min="21" max="16384" width="15.703125" style="10"/>
  </cols>
  <sheetData>
    <row r="1" spans="1:14" s="48" customFormat="1" ht="117" customHeight="1" x14ac:dyDescent="0.5">
      <c r="B1" s="50"/>
      <c r="C1" s="49"/>
    </row>
    <row r="2" spans="1:14" ht="19.5" customHeight="1" x14ac:dyDescent="0.5">
      <c r="A2" s="47" t="s">
        <v>0</v>
      </c>
      <c r="B2" s="46"/>
      <c r="C2" s="43"/>
    </row>
    <row r="3" spans="1:14" ht="19.5" customHeight="1" x14ac:dyDescent="0.5">
      <c r="A3" s="47" t="s">
        <v>1</v>
      </c>
      <c r="B3" s="46"/>
      <c r="C3" s="43"/>
    </row>
    <row r="4" spans="1:14" x14ac:dyDescent="0.5">
      <c r="A4" s="45" t="s">
        <v>2</v>
      </c>
      <c r="B4" s="44"/>
      <c r="C4" s="43"/>
      <c r="D4" s="43"/>
    </row>
    <row r="5" spans="1:14" s="27" customFormat="1" x14ac:dyDescent="0.8">
      <c r="A5" s="41" t="s">
        <v>3</v>
      </c>
      <c r="B5" s="42">
        <v>42831.272505439818</v>
      </c>
      <c r="C5" s="31"/>
      <c r="D5" s="31"/>
      <c r="E5" s="28"/>
      <c r="F5" s="28"/>
      <c r="G5" s="30"/>
      <c r="H5" s="28"/>
      <c r="I5" s="28"/>
      <c r="J5" s="28"/>
      <c r="K5" s="28"/>
      <c r="L5" s="29"/>
      <c r="M5" s="28"/>
      <c r="N5" s="28"/>
    </row>
    <row r="6" spans="1:14" s="27" customFormat="1" x14ac:dyDescent="0.8">
      <c r="A6" s="41" t="s">
        <v>4</v>
      </c>
      <c r="B6" s="32" t="s">
        <v>64</v>
      </c>
      <c r="C6" s="31"/>
      <c r="D6" s="31"/>
      <c r="E6" s="28"/>
      <c r="F6" s="28"/>
      <c r="G6" s="30"/>
      <c r="H6" s="28"/>
      <c r="I6" s="28"/>
      <c r="J6" s="28"/>
      <c r="K6" s="28"/>
      <c r="L6" s="29"/>
      <c r="M6" s="28"/>
      <c r="N6" s="28"/>
    </row>
    <row r="7" spans="1:14" s="27" customFormat="1" x14ac:dyDescent="0.8">
      <c r="A7" s="41" t="s">
        <v>6</v>
      </c>
      <c r="B7" s="32"/>
      <c r="C7" s="31"/>
      <c r="D7" s="31"/>
      <c r="E7" s="28"/>
      <c r="F7" s="28"/>
      <c r="G7" s="30"/>
      <c r="H7" s="28"/>
      <c r="I7" s="28"/>
      <c r="J7" s="28"/>
      <c r="K7" s="28"/>
      <c r="L7" s="29"/>
      <c r="M7" s="28"/>
      <c r="N7" s="28"/>
    </row>
    <row r="8" spans="1:14" s="27" customFormat="1" x14ac:dyDescent="0.8">
      <c r="A8" s="41" t="s">
        <v>8</v>
      </c>
      <c r="B8" s="32" t="s">
        <v>9</v>
      </c>
      <c r="C8" s="31"/>
      <c r="D8" s="31"/>
      <c r="E8" s="28"/>
      <c r="F8" s="28"/>
      <c r="G8" s="28"/>
      <c r="H8" s="28"/>
      <c r="I8" s="28"/>
      <c r="J8" s="28"/>
      <c r="L8" s="29"/>
      <c r="M8" s="28"/>
      <c r="N8" s="28"/>
    </row>
    <row r="9" spans="1:14" s="27" customFormat="1" x14ac:dyDescent="0.5">
      <c r="A9" s="40" t="s">
        <v>10</v>
      </c>
      <c r="B9" s="31"/>
      <c r="C9" s="31"/>
      <c r="D9" s="31"/>
      <c r="E9" s="28"/>
      <c r="F9" s="28"/>
      <c r="G9" s="28"/>
      <c r="H9" s="28"/>
      <c r="I9" s="28"/>
      <c r="J9" s="28"/>
      <c r="L9" s="29"/>
      <c r="M9" s="28"/>
      <c r="N9" s="28"/>
    </row>
    <row r="10" spans="1:14" s="27" customFormat="1" x14ac:dyDescent="0.5">
      <c r="A10" s="33">
        <v>1</v>
      </c>
      <c r="B10" s="37" t="s">
        <v>63</v>
      </c>
      <c r="C10" s="39">
        <v>650</v>
      </c>
      <c r="D10" s="38" t="s">
        <v>125</v>
      </c>
      <c r="E10" s="28"/>
      <c r="F10" s="28"/>
      <c r="H10" s="28"/>
      <c r="I10" s="28"/>
      <c r="J10" s="28"/>
      <c r="L10" s="29"/>
      <c r="M10" s="28"/>
      <c r="N10" s="28"/>
    </row>
    <row r="11" spans="1:14" s="27" customFormat="1" x14ac:dyDescent="0.5">
      <c r="A11" s="33">
        <f>A10+1</f>
        <v>2</v>
      </c>
      <c r="B11" s="37" t="s">
        <v>62</v>
      </c>
      <c r="C11" s="36">
        <f>'Design Point System Curve'!C11</f>
        <v>70</v>
      </c>
      <c r="D11" s="32" t="s">
        <v>98</v>
      </c>
      <c r="E11" s="28"/>
      <c r="F11" s="28"/>
      <c r="G11" s="28"/>
      <c r="H11" s="28"/>
      <c r="I11" s="28"/>
      <c r="J11" s="28"/>
      <c r="L11" s="29"/>
      <c r="M11" s="28"/>
      <c r="N11" s="28"/>
    </row>
    <row r="12" spans="1:14" s="27" customFormat="1" x14ac:dyDescent="0.5">
      <c r="A12" s="33">
        <f>A11+1</f>
        <v>3</v>
      </c>
      <c r="B12" s="37" t="s">
        <v>61</v>
      </c>
      <c r="C12" s="36">
        <v>0</v>
      </c>
      <c r="D12" s="32" t="s">
        <v>111</v>
      </c>
      <c r="E12" s="28"/>
      <c r="F12" s="28"/>
      <c r="G12" s="28"/>
      <c r="H12" s="28"/>
      <c r="I12" s="28"/>
      <c r="J12" s="28"/>
      <c r="L12" s="29"/>
      <c r="M12" s="28"/>
      <c r="N12" s="28"/>
    </row>
    <row r="13" spans="1:14" s="27" customFormat="1" x14ac:dyDescent="0.5">
      <c r="A13" s="33">
        <v>4</v>
      </c>
      <c r="B13" s="37" t="s">
        <v>112</v>
      </c>
      <c r="C13" s="83">
        <v>2</v>
      </c>
      <c r="D13" s="32" t="s">
        <v>113</v>
      </c>
      <c r="E13" s="28"/>
      <c r="F13" s="28"/>
      <c r="G13" s="28"/>
      <c r="H13" s="28"/>
      <c r="I13" s="28"/>
      <c r="J13" s="28"/>
      <c r="L13" s="35"/>
      <c r="M13" s="28"/>
      <c r="N13" s="34"/>
    </row>
    <row r="14" spans="1:14" s="27" customFormat="1" x14ac:dyDescent="0.5">
      <c r="A14" s="33">
        <v>5</v>
      </c>
      <c r="B14" s="37" t="s">
        <v>78</v>
      </c>
      <c r="C14" s="95">
        <v>0.72</v>
      </c>
      <c r="D14" s="32" t="s">
        <v>137</v>
      </c>
      <c r="E14" s="28"/>
      <c r="F14" s="28"/>
      <c r="G14" s="28"/>
      <c r="H14" s="28"/>
      <c r="I14" s="28"/>
      <c r="J14" s="28"/>
      <c r="L14" s="35"/>
      <c r="M14" s="28"/>
      <c r="N14" s="34"/>
    </row>
    <row r="15" spans="1:14" s="27" customFormat="1" x14ac:dyDescent="0.5">
      <c r="A15" s="33">
        <v>6</v>
      </c>
      <c r="B15" s="37" t="s">
        <v>76</v>
      </c>
      <c r="C15" s="57">
        <f>(C10*C11)/(3960*C14)</f>
        <v>15.958193041526377</v>
      </c>
      <c r="D15" s="32" t="s">
        <v>77</v>
      </c>
      <c r="E15" s="28"/>
      <c r="F15" s="28"/>
      <c r="G15" s="30"/>
      <c r="H15" s="28"/>
      <c r="I15" s="28"/>
      <c r="J15" s="28"/>
      <c r="K15" s="28"/>
      <c r="L15" s="29"/>
      <c r="M15" s="28"/>
      <c r="N15" s="28"/>
    </row>
    <row r="16" spans="1:14" s="27" customFormat="1" x14ac:dyDescent="0.5">
      <c r="A16" s="33">
        <v>7</v>
      </c>
      <c r="B16" s="37" t="s">
        <v>92</v>
      </c>
      <c r="C16" s="57">
        <v>13.5</v>
      </c>
      <c r="D16" s="32" t="s">
        <v>81</v>
      </c>
      <c r="E16" s="28"/>
      <c r="F16" s="28"/>
      <c r="G16" s="30"/>
      <c r="H16" s="28"/>
      <c r="I16" s="28"/>
      <c r="J16" s="28"/>
      <c r="K16" s="28"/>
      <c r="L16" s="29"/>
      <c r="M16" s="28"/>
      <c r="N16" s="28"/>
    </row>
    <row r="17" spans="1:14" s="27" customFormat="1" x14ac:dyDescent="0.5">
      <c r="A17" s="33">
        <v>8</v>
      </c>
      <c r="B17" s="37" t="s">
        <v>93</v>
      </c>
      <c r="C17" s="57">
        <v>10</v>
      </c>
      <c r="D17" s="32" t="s">
        <v>81</v>
      </c>
      <c r="E17" s="28"/>
      <c r="F17" s="28"/>
      <c r="G17" s="30"/>
      <c r="H17" s="28"/>
      <c r="I17" s="28"/>
      <c r="J17" s="28"/>
      <c r="K17" s="28"/>
      <c r="L17" s="29"/>
      <c r="M17" s="28"/>
      <c r="N17" s="28"/>
    </row>
    <row r="18" spans="1:14" s="27" customFormat="1" x14ac:dyDescent="0.5">
      <c r="A18" s="33"/>
      <c r="B18" s="32" t="s">
        <v>114</v>
      </c>
      <c r="C18" s="57"/>
      <c r="D18" s="32"/>
      <c r="E18" s="28"/>
      <c r="F18" s="28"/>
      <c r="G18" s="30"/>
      <c r="H18" s="28"/>
      <c r="I18" s="28"/>
      <c r="J18" s="28"/>
      <c r="K18" s="28"/>
      <c r="L18" s="29"/>
      <c r="M18" s="28"/>
      <c r="N18" s="28"/>
    </row>
    <row r="19" spans="1:14" s="27" customFormat="1" x14ac:dyDescent="0.5">
      <c r="A19" s="33"/>
      <c r="B19" s="32" t="s">
        <v>115</v>
      </c>
      <c r="C19" s="57"/>
      <c r="D19" s="32"/>
      <c r="E19" s="28"/>
      <c r="F19" s="28"/>
      <c r="G19" s="30"/>
      <c r="H19" s="28"/>
      <c r="I19" s="28"/>
      <c r="J19" s="28"/>
      <c r="K19" s="28"/>
      <c r="L19" s="29"/>
      <c r="M19" s="28"/>
      <c r="N19" s="28"/>
    </row>
    <row r="20" spans="1:14" x14ac:dyDescent="0.5">
      <c r="A20" s="26"/>
      <c r="B20" s="25"/>
      <c r="C20" s="20"/>
      <c r="D20" s="20"/>
    </row>
    <row r="21" spans="1:14" ht="24.95" customHeight="1" x14ac:dyDescent="0.5">
      <c r="A21" s="24"/>
      <c r="B21" s="240" t="s">
        <v>60</v>
      </c>
      <c r="C21" s="240"/>
      <c r="D21" s="240"/>
      <c r="E21" s="98"/>
      <c r="F21" s="237" t="s">
        <v>139</v>
      </c>
      <c r="G21" s="237"/>
      <c r="H21" s="237"/>
      <c r="I21" s="237"/>
      <c r="J21" s="237"/>
      <c r="K21" s="98"/>
    </row>
    <row r="22" spans="1:14" ht="24.95" customHeight="1" x14ac:dyDescent="0.5">
      <c r="A22" s="13"/>
      <c r="B22" s="80" t="s">
        <v>59</v>
      </c>
      <c r="C22" s="81" t="s">
        <v>49</v>
      </c>
      <c r="D22" s="82" t="s">
        <v>116</v>
      </c>
      <c r="E22" s="100"/>
      <c r="F22" s="237" t="s">
        <v>140</v>
      </c>
      <c r="G22" s="237"/>
      <c r="H22" s="237"/>
      <c r="I22" s="237"/>
      <c r="J22" s="237"/>
      <c r="K22" s="100"/>
    </row>
    <row r="23" spans="1:14" x14ac:dyDescent="0.5">
      <c r="A23" s="13"/>
      <c r="B23" s="21" t="s">
        <v>100</v>
      </c>
      <c r="C23" s="23">
        <f>1.6*C25</f>
        <v>1040</v>
      </c>
      <c r="D23" s="52">
        <f>$D$40+(($D$25-$D$40)*((C23/$C$25)^$C$13))</f>
        <v>179.20000000000005</v>
      </c>
      <c r="E23" s="101"/>
      <c r="F23" s="237" t="s">
        <v>141</v>
      </c>
      <c r="G23" s="237"/>
      <c r="H23" s="237"/>
      <c r="I23" s="237"/>
      <c r="J23" s="237"/>
      <c r="K23" s="101"/>
    </row>
    <row r="24" spans="1:14" x14ac:dyDescent="0.5">
      <c r="A24" s="13"/>
      <c r="B24" s="22" t="s">
        <v>57</v>
      </c>
      <c r="C24" s="53">
        <f>1.2*C25</f>
        <v>780</v>
      </c>
      <c r="D24" s="54">
        <f>$D$40+(($D$25-$D$40)*((C24/$C$25)^$C$13))</f>
        <v>100.8</v>
      </c>
      <c r="E24" s="102"/>
      <c r="F24" s="237" t="s">
        <v>142</v>
      </c>
      <c r="G24" s="237"/>
      <c r="H24" s="237"/>
      <c r="I24" s="237"/>
      <c r="J24" s="237"/>
      <c r="K24" s="102"/>
    </row>
    <row r="25" spans="1:14" x14ac:dyDescent="0.5">
      <c r="A25" s="13"/>
      <c r="B25" s="86" t="s">
        <v>56</v>
      </c>
      <c r="C25" s="87">
        <f>$C$10</f>
        <v>650</v>
      </c>
      <c r="D25" s="88">
        <f>$C$11</f>
        <v>70</v>
      </c>
      <c r="E25" s="103"/>
      <c r="F25" s="237" t="s">
        <v>143</v>
      </c>
      <c r="G25" s="237"/>
      <c r="H25" s="237"/>
      <c r="I25" s="237"/>
      <c r="J25" s="237"/>
      <c r="K25" s="103"/>
    </row>
    <row r="26" spans="1:14" x14ac:dyDescent="0.5">
      <c r="A26" s="13"/>
      <c r="B26" s="22" t="s">
        <v>55</v>
      </c>
      <c r="C26" s="53">
        <f>0.8*C25</f>
        <v>520</v>
      </c>
      <c r="D26" s="54">
        <f t="shared" ref="D26:D39" si="0">$D$40+(($D$25-$D$40)*((C26/$C$25)^$C$13))</f>
        <v>44.800000000000011</v>
      </c>
      <c r="E26" s="104"/>
      <c r="F26" s="237" t="s">
        <v>144</v>
      </c>
      <c r="G26" s="237"/>
      <c r="H26" s="237"/>
      <c r="I26" s="237"/>
      <c r="J26" s="237"/>
      <c r="K26" s="104"/>
    </row>
    <row r="27" spans="1:14" x14ac:dyDescent="0.5">
      <c r="A27" s="13"/>
      <c r="B27" s="21" t="s">
        <v>54</v>
      </c>
      <c r="C27" s="23">
        <f>0.6*C25</f>
        <v>390</v>
      </c>
      <c r="D27" s="52">
        <f t="shared" si="0"/>
        <v>25.2</v>
      </c>
      <c r="E27" s="105"/>
      <c r="F27" s="237" t="s">
        <v>146</v>
      </c>
      <c r="G27" s="237"/>
      <c r="H27" s="237"/>
      <c r="I27" s="237"/>
      <c r="J27" s="237"/>
      <c r="K27" s="105"/>
    </row>
    <row r="28" spans="1:14" x14ac:dyDescent="0.5">
      <c r="A28" s="13"/>
      <c r="B28" s="22" t="s">
        <v>53</v>
      </c>
      <c r="C28" s="53">
        <f>0.4*C25</f>
        <v>260</v>
      </c>
      <c r="D28" s="54">
        <f t="shared" si="0"/>
        <v>11.200000000000003</v>
      </c>
    </row>
    <row r="29" spans="1:14" x14ac:dyDescent="0.5">
      <c r="A29" s="13"/>
      <c r="B29" s="21" t="s">
        <v>67</v>
      </c>
      <c r="C29" s="23">
        <f>0.3*C25</f>
        <v>195</v>
      </c>
      <c r="D29" s="52">
        <f t="shared" si="0"/>
        <v>6.3</v>
      </c>
    </row>
    <row r="30" spans="1:14" x14ac:dyDescent="0.5">
      <c r="A30" s="13"/>
      <c r="B30" s="22" t="s">
        <v>52</v>
      </c>
      <c r="C30" s="53">
        <f>0.2*C25</f>
        <v>130</v>
      </c>
      <c r="D30" s="54">
        <f t="shared" si="0"/>
        <v>2.8000000000000007</v>
      </c>
    </row>
    <row r="31" spans="1:14" x14ac:dyDescent="0.5">
      <c r="A31" s="13"/>
      <c r="B31" s="21" t="s">
        <v>68</v>
      </c>
      <c r="C31" s="23">
        <f>0.18*C25</f>
        <v>117</v>
      </c>
      <c r="D31" s="52">
        <f t="shared" si="0"/>
        <v>2.2679999999999998</v>
      </c>
    </row>
    <row r="32" spans="1:14" x14ac:dyDescent="0.5">
      <c r="A32" s="13"/>
      <c r="B32" s="22" t="s">
        <v>69</v>
      </c>
      <c r="C32" s="53">
        <f>0.16*C25</f>
        <v>104</v>
      </c>
      <c r="D32" s="54">
        <f t="shared" si="0"/>
        <v>1.792</v>
      </c>
    </row>
    <row r="33" spans="1:5" x14ac:dyDescent="0.5">
      <c r="A33" s="13"/>
      <c r="B33" s="21" t="s">
        <v>70</v>
      </c>
      <c r="C33" s="23">
        <f>0.14*C25</f>
        <v>91.000000000000014</v>
      </c>
      <c r="D33" s="52">
        <f t="shared" si="0"/>
        <v>1.3720000000000001</v>
      </c>
    </row>
    <row r="34" spans="1:5" x14ac:dyDescent="0.5">
      <c r="A34" s="13"/>
      <c r="B34" s="22" t="s">
        <v>71</v>
      </c>
      <c r="C34" s="53">
        <f>0.12*C25</f>
        <v>78</v>
      </c>
      <c r="D34" s="54">
        <f t="shared" si="0"/>
        <v>1.008</v>
      </c>
    </row>
    <row r="35" spans="1:5" x14ac:dyDescent="0.5">
      <c r="A35" s="13"/>
      <c r="B35" s="21" t="s">
        <v>51</v>
      </c>
      <c r="C35" s="23">
        <f>0.1*C25</f>
        <v>65</v>
      </c>
      <c r="D35" s="52">
        <f t="shared" si="0"/>
        <v>0.70000000000000018</v>
      </c>
    </row>
    <row r="36" spans="1:5" x14ac:dyDescent="0.5">
      <c r="A36" s="13"/>
      <c r="B36" s="22" t="s">
        <v>72</v>
      </c>
      <c r="C36" s="53">
        <f>0.08*C25</f>
        <v>52</v>
      </c>
      <c r="D36" s="54">
        <f t="shared" si="0"/>
        <v>0.44800000000000001</v>
      </c>
    </row>
    <row r="37" spans="1:5" x14ac:dyDescent="0.5">
      <c r="A37" s="13"/>
      <c r="B37" s="21" t="s">
        <v>73</v>
      </c>
      <c r="C37" s="23">
        <f>0.06*C25</f>
        <v>39</v>
      </c>
      <c r="D37" s="52">
        <f t="shared" si="0"/>
        <v>0.252</v>
      </c>
    </row>
    <row r="38" spans="1:5" x14ac:dyDescent="0.5">
      <c r="A38" s="13"/>
      <c r="B38" s="22" t="s">
        <v>74</v>
      </c>
      <c r="C38" s="53">
        <f>0.04*C27</f>
        <v>15.6</v>
      </c>
      <c r="D38" s="54">
        <f t="shared" si="0"/>
        <v>4.0320000000000002E-2</v>
      </c>
    </row>
    <row r="39" spans="1:5" x14ac:dyDescent="0.5">
      <c r="A39" s="13"/>
      <c r="B39" s="21" t="s">
        <v>75</v>
      </c>
      <c r="C39" s="23">
        <f>0.02*C27</f>
        <v>7.8</v>
      </c>
      <c r="D39" s="52">
        <f t="shared" si="0"/>
        <v>1.008E-2</v>
      </c>
    </row>
    <row r="40" spans="1:5" x14ac:dyDescent="0.5">
      <c r="A40" s="13"/>
      <c r="B40" s="22" t="s">
        <v>50</v>
      </c>
      <c r="C40" s="53">
        <v>0</v>
      </c>
      <c r="D40" s="56">
        <f>$C$12</f>
        <v>0</v>
      </c>
      <c r="E40" s="20"/>
    </row>
    <row r="41" spans="1:5" x14ac:dyDescent="0.5">
      <c r="B41" s="51"/>
      <c r="C41" s="20"/>
      <c r="D41" s="20"/>
    </row>
    <row r="42" spans="1:5" x14ac:dyDescent="0.5">
      <c r="A42" s="13"/>
      <c r="B42" s="71" t="s">
        <v>99</v>
      </c>
      <c r="C42" s="72"/>
      <c r="D42" s="73"/>
    </row>
    <row r="43" spans="1:5" x14ac:dyDescent="0.5">
      <c r="A43" s="13"/>
      <c r="B43" s="22" t="s">
        <v>65</v>
      </c>
      <c r="C43" s="55">
        <v>2500</v>
      </c>
      <c r="D43" s="54">
        <f>D25</f>
        <v>70</v>
      </c>
      <c r="E43" s="10" t="s">
        <v>117</v>
      </c>
    </row>
    <row r="44" spans="1:5" x14ac:dyDescent="0.5">
      <c r="A44" s="13"/>
      <c r="B44" s="21"/>
      <c r="C44" s="55">
        <v>0</v>
      </c>
      <c r="D44" s="52">
        <f>D43</f>
        <v>70</v>
      </c>
    </row>
    <row r="45" spans="1:5" x14ac:dyDescent="0.5">
      <c r="A45" s="13"/>
      <c r="B45" s="22" t="s">
        <v>66</v>
      </c>
      <c r="C45" s="53">
        <f>C25</f>
        <v>650</v>
      </c>
      <c r="D45" s="85">
        <v>90</v>
      </c>
      <c r="E45" s="10" t="s">
        <v>118</v>
      </c>
    </row>
    <row r="46" spans="1:5" x14ac:dyDescent="0.5">
      <c r="A46" s="13"/>
      <c r="B46" s="21"/>
      <c r="C46" s="23">
        <f>C45</f>
        <v>650</v>
      </c>
      <c r="D46" s="85">
        <f>D40</f>
        <v>0</v>
      </c>
    </row>
    <row r="47" spans="1:5" x14ac:dyDescent="0.5">
      <c r="A47" s="13"/>
    </row>
    <row r="48" spans="1:5" x14ac:dyDescent="0.5">
      <c r="A48" s="13"/>
      <c r="B48" s="71" t="s">
        <v>101</v>
      </c>
      <c r="C48" s="72"/>
      <c r="D48" s="73"/>
    </row>
    <row r="49" spans="1:5" x14ac:dyDescent="0.5">
      <c r="A49" s="13"/>
      <c r="B49" s="22" t="s">
        <v>65</v>
      </c>
      <c r="C49" s="74">
        <f>C43</f>
        <v>2500</v>
      </c>
      <c r="D49" s="84">
        <v>78</v>
      </c>
      <c r="E49" s="10" t="s">
        <v>120</v>
      </c>
    </row>
    <row r="50" spans="1:5" x14ac:dyDescent="0.5">
      <c r="A50" s="13"/>
      <c r="B50" s="21"/>
      <c r="C50" s="23">
        <v>0</v>
      </c>
      <c r="D50" s="52">
        <f>D49</f>
        <v>78</v>
      </c>
    </row>
    <row r="51" spans="1:5" x14ac:dyDescent="0.5">
      <c r="A51" s="13"/>
      <c r="B51" s="22" t="s">
        <v>66</v>
      </c>
      <c r="C51" s="77">
        <v>687</v>
      </c>
      <c r="D51" s="75">
        <f>D45</f>
        <v>90</v>
      </c>
      <c r="E51" s="10" t="s">
        <v>119</v>
      </c>
    </row>
    <row r="52" spans="1:5" x14ac:dyDescent="0.5">
      <c r="A52" s="13"/>
      <c r="B52" s="21"/>
      <c r="C52" s="23">
        <f>C51</f>
        <v>687</v>
      </c>
      <c r="D52" s="76">
        <f>D46</f>
        <v>0</v>
      </c>
    </row>
    <row r="53" spans="1:5" x14ac:dyDescent="0.5">
      <c r="A53" s="13"/>
      <c r="B53" s="17"/>
    </row>
    <row r="54" spans="1:5" x14ac:dyDescent="0.5">
      <c r="A54" s="13"/>
      <c r="B54" s="17"/>
    </row>
    <row r="55" spans="1:5" x14ac:dyDescent="0.5">
      <c r="A55" s="13"/>
      <c r="B55" s="17"/>
    </row>
    <row r="56" spans="1:5" x14ac:dyDescent="0.5">
      <c r="A56" s="13"/>
      <c r="B56" s="17"/>
      <c r="C56" s="16"/>
    </row>
    <row r="57" spans="1:5" x14ac:dyDescent="0.5">
      <c r="A57" s="13"/>
      <c r="B57" s="17"/>
      <c r="C57" s="16"/>
    </row>
    <row r="58" spans="1:5" x14ac:dyDescent="0.5">
      <c r="A58" s="13"/>
      <c r="B58" s="17"/>
      <c r="C58" s="16"/>
    </row>
    <row r="59" spans="1:5" x14ac:dyDescent="0.5">
      <c r="A59" s="13"/>
      <c r="B59" s="17"/>
      <c r="C59" s="16"/>
    </row>
    <row r="60" spans="1:5" x14ac:dyDescent="0.5">
      <c r="A60" s="13"/>
      <c r="B60" s="17"/>
      <c r="C60" s="16"/>
    </row>
    <row r="61" spans="1:5" x14ac:dyDescent="0.5">
      <c r="A61" s="13"/>
      <c r="B61" s="17"/>
      <c r="C61" s="16"/>
    </row>
    <row r="62" spans="1:5" x14ac:dyDescent="0.5">
      <c r="A62" s="19"/>
      <c r="B62" s="17"/>
      <c r="C62" s="16"/>
    </row>
    <row r="63" spans="1:5" x14ac:dyDescent="0.5">
      <c r="A63" s="13"/>
      <c r="B63" s="17"/>
      <c r="C63" s="16"/>
    </row>
    <row r="64" spans="1:5" x14ac:dyDescent="0.5">
      <c r="A64" s="18"/>
      <c r="B64" s="17"/>
      <c r="C64" s="16"/>
    </row>
    <row r="65" spans="1:3" x14ac:dyDescent="0.5">
      <c r="B65" s="17"/>
      <c r="C65" s="16"/>
    </row>
    <row r="66" spans="1:3" x14ac:dyDescent="0.5">
      <c r="B66" s="17"/>
      <c r="C66" s="16"/>
    </row>
    <row r="67" spans="1:3" x14ac:dyDescent="0.5">
      <c r="A67" s="13"/>
      <c r="B67" s="14"/>
      <c r="C67" s="12"/>
    </row>
    <row r="68" spans="1:3" x14ac:dyDescent="0.5">
      <c r="A68" s="13"/>
      <c r="B68" s="14"/>
      <c r="C68" s="12"/>
    </row>
    <row r="69" spans="1:3" x14ac:dyDescent="0.5">
      <c r="A69" s="13"/>
      <c r="B69" s="14"/>
      <c r="C69" s="12"/>
    </row>
    <row r="70" spans="1:3" x14ac:dyDescent="0.5">
      <c r="A70" s="13"/>
      <c r="B70" s="15"/>
      <c r="C70" s="12"/>
    </row>
    <row r="71" spans="1:3" x14ac:dyDescent="0.5">
      <c r="A71" s="13"/>
      <c r="B71" s="14"/>
      <c r="C71" s="12"/>
    </row>
    <row r="72" spans="1:3" x14ac:dyDescent="0.5">
      <c r="A72" s="13"/>
      <c r="C72" s="12"/>
    </row>
    <row r="73" spans="1:3" x14ac:dyDescent="0.5">
      <c r="A73" s="13"/>
      <c r="C73" s="12"/>
    </row>
  </sheetData>
  <mergeCells count="8">
    <mergeCell ref="F25:J25"/>
    <mergeCell ref="F26:J26"/>
    <mergeCell ref="F27:J27"/>
    <mergeCell ref="B21:D21"/>
    <mergeCell ref="F21:J21"/>
    <mergeCell ref="F22:J22"/>
    <mergeCell ref="F23:J23"/>
    <mergeCell ref="F24:J24"/>
  </mergeCells>
  <hyperlinks>
    <hyperlink ref="F27:J27" location="Summary!A1" display="Click here to go to the summary tab"/>
    <hyperlink ref="F26:J26" location="'12.5 Pct'!A1" display="Click here to go to the 12.5% load condition tabs"/>
    <hyperlink ref="F25:J25" location="'25 Pct '!A1" display="Click here to go to the 25% load condition tabs"/>
    <hyperlink ref="F24:J24" location="'50 Pct'!A1" display="Click here to go to the 50% load condition tabs"/>
    <hyperlink ref="F23:J23" location="'75 Pct'!A1" display="Click here to go to the 75% load condition tabs"/>
    <hyperlink ref="F22:J22" location="'Design Point System Curve'!A1" display="Click here to go to the design condition tabs"/>
    <hyperlink ref="F21:J21" location="'1510 6G 1150rpm'!A1" display="Click here to go to the data used to plot the digital pump curve set"/>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57345" r:id="rId4">
          <objectPr defaultSize="0" autoPict="0" r:id="rId5">
            <anchor moveWithCells="1">
              <from>
                <xdr:col>7</xdr:col>
                <xdr:colOff>0</xdr:colOff>
                <xdr:row>0</xdr:row>
                <xdr:rowOff>0</xdr:rowOff>
              </from>
              <to>
                <xdr:col>11</xdr:col>
                <xdr:colOff>313267</xdr:colOff>
                <xdr:row>2</xdr:row>
                <xdr:rowOff>211667</xdr:rowOff>
              </to>
            </anchor>
          </objectPr>
        </oleObject>
      </mc:Choice>
      <mc:Fallback>
        <oleObject progId="Equation.DSMT4" shapeId="57345" r:id="rId4"/>
      </mc:Fallback>
    </mc:AlternateContent>
    <mc:AlternateContent xmlns:mc="http://schemas.openxmlformats.org/markup-compatibility/2006">
      <mc:Choice Requires="x14">
        <oleObject progId="Equation.DSMT4" shapeId="57346" r:id="rId6">
          <objectPr defaultSize="0" autoPict="0" r:id="rId7">
            <anchor moveWithCells="1">
              <from>
                <xdr:col>12</xdr:col>
                <xdr:colOff>0</xdr:colOff>
                <xdr:row>0</xdr:row>
                <xdr:rowOff>21167</xdr:rowOff>
              </from>
              <to>
                <xdr:col>16</xdr:col>
                <xdr:colOff>1354667</xdr:colOff>
                <xdr:row>5</xdr:row>
                <xdr:rowOff>105833</xdr:rowOff>
              </to>
            </anchor>
          </objectPr>
        </oleObject>
      </mc:Choice>
      <mc:Fallback>
        <oleObject progId="Equation.DSMT4" shapeId="57346" r:id="rId6"/>
      </mc:Fallback>
    </mc:AlternateContent>
    <mc:AlternateContent xmlns:mc="http://schemas.openxmlformats.org/markup-compatibility/2006">
      <mc:Choice Requires="x14">
        <oleObject progId="Equation.DSMT4" shapeId="57347" r:id="rId8">
          <objectPr defaultSize="0" autoPict="0" r:id="rId9">
            <anchor moveWithCells="1">
              <from>
                <xdr:col>7</xdr:col>
                <xdr:colOff>0</xdr:colOff>
                <xdr:row>3</xdr:row>
                <xdr:rowOff>0</xdr:rowOff>
              </from>
              <to>
                <xdr:col>11</xdr:col>
                <xdr:colOff>313267</xdr:colOff>
                <xdr:row>10</xdr:row>
                <xdr:rowOff>211667</xdr:rowOff>
              </to>
            </anchor>
          </objectPr>
        </oleObject>
      </mc:Choice>
      <mc:Fallback>
        <oleObject progId="Equation.DSMT4" shapeId="57347"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G98"/>
  <sheetViews>
    <sheetView topLeftCell="A4" workbookViewId="0">
      <selection activeCell="C18" sqref="C18"/>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102</v>
      </c>
      <c r="B1" s="59"/>
      <c r="C1" s="59"/>
      <c r="D1" s="59"/>
      <c r="E1" s="59"/>
      <c r="F1" s="60"/>
      <c r="G1" s="60"/>
    </row>
    <row r="2" spans="1:7" x14ac:dyDescent="0.5">
      <c r="A2" s="61" t="s">
        <v>86</v>
      </c>
    </row>
    <row r="17" spans="1:7" x14ac:dyDescent="0.5">
      <c r="A17" s="63" t="s">
        <v>87</v>
      </c>
      <c r="B17" s="91">
        <f>'50 Pct'!C10</f>
        <v>650</v>
      </c>
      <c r="C17" s="90" t="s">
        <v>126</v>
      </c>
    </row>
    <row r="18" spans="1:7" x14ac:dyDescent="0.5">
      <c r="A18" s="63" t="s">
        <v>88</v>
      </c>
      <c r="B18" s="63">
        <f>'50 Pct'!C51</f>
        <v>687</v>
      </c>
      <c r="C18" s="236" t="s">
        <v>203</v>
      </c>
    </row>
    <row r="19" spans="1:7" x14ac:dyDescent="0.5">
      <c r="A19" s="63" t="s">
        <v>103</v>
      </c>
      <c r="B19" s="89">
        <v>1150</v>
      </c>
      <c r="C19" s="90" t="s">
        <v>122</v>
      </c>
    </row>
    <row r="20" spans="1:7" x14ac:dyDescent="0.5">
      <c r="A20" s="63" t="s">
        <v>110</v>
      </c>
      <c r="B20" s="89">
        <v>-25</v>
      </c>
      <c r="C20" s="90" t="s">
        <v>121</v>
      </c>
    </row>
    <row r="21" spans="1:7" x14ac:dyDescent="0.5">
      <c r="A21" s="63" t="s">
        <v>104</v>
      </c>
      <c r="B21" s="63">
        <f>((B17/B18)*B19)+B20</f>
        <v>1063.0640465793304</v>
      </c>
      <c r="C21" s="65" t="s">
        <v>109</v>
      </c>
    </row>
    <row r="22" spans="1:7" x14ac:dyDescent="0.5">
      <c r="A22" s="93" t="s">
        <v>136</v>
      </c>
      <c r="B22" s="65" t="str">
        <f>TEXT('Design Impeller from Largest'!B15,"##.000")&amp;" inch impeller at "&amp;TEXT('50 Pct Speed Estimate Tweak'!B21,"#,###")&amp;" rpm from the affinity law, adjusted to go through the operating point"</f>
        <v>13.195 inch impeller at 1,063 rpm from the affinity law, adjusted to go through the operating point</v>
      </c>
      <c r="C22" s="65"/>
    </row>
    <row r="23" spans="1:7" x14ac:dyDescent="0.5">
      <c r="A23" s="58" t="s">
        <v>105</v>
      </c>
      <c r="B23" s="59"/>
      <c r="C23" s="59"/>
      <c r="D23" s="59"/>
      <c r="E23" s="59"/>
      <c r="F23" s="60"/>
      <c r="G23" s="60"/>
    </row>
    <row r="24" spans="1:7" x14ac:dyDescent="0.5">
      <c r="A24" s="61" t="s">
        <v>79</v>
      </c>
    </row>
    <row r="34" spans="1:7" x14ac:dyDescent="0.5">
      <c r="A34" s="63" t="s">
        <v>103</v>
      </c>
      <c r="B34" s="63">
        <f>B19</f>
        <v>1150</v>
      </c>
      <c r="C34" s="65" t="s">
        <v>107</v>
      </c>
    </row>
    <row r="35" spans="1:7" x14ac:dyDescent="0.5">
      <c r="A35" s="63" t="s">
        <v>104</v>
      </c>
      <c r="B35" s="63">
        <f>B21</f>
        <v>1063.0640465793304</v>
      </c>
      <c r="C35" s="65" t="s">
        <v>108</v>
      </c>
    </row>
    <row r="36" spans="1:7" x14ac:dyDescent="0.5">
      <c r="A36" s="63"/>
      <c r="B36" s="66"/>
    </row>
    <row r="37" spans="1:7" ht="66.7" x14ac:dyDescent="0.5">
      <c r="B37" s="67" t="str">
        <f>TEXT(B34,"#,###")&amp;" rpm Impeller Flow, gpm (Known value from previous calculation)"</f>
        <v>1,150 rpm Impeller Flow, gpm (Known value from previous calculation)</v>
      </c>
      <c r="C37" s="67" t="str">
        <f>TEXT(B35,"#,###")&amp;" rpm Impeller Flow, gpm (Calculated with the affinity law)"</f>
        <v>1,063 rpm Impeller Flow, gpm (Calculated with the affinity law)</v>
      </c>
    </row>
    <row r="38" spans="1:7" x14ac:dyDescent="0.5">
      <c r="B38" s="70">
        <v>1.0000000000000001E-9</v>
      </c>
      <c r="C38" s="62">
        <f>B38*($B$35/$B$34)</f>
        <v>9.2440351876463522E-10</v>
      </c>
      <c r="D38" s="61" t="s">
        <v>83</v>
      </c>
    </row>
    <row r="39" spans="1:7" s="62" customFormat="1" x14ac:dyDescent="0.5">
      <c r="A39" s="61"/>
      <c r="B39" s="62">
        <f>'Impeller 6G 1150'!O10</f>
        <v>101.038</v>
      </c>
      <c r="C39" s="62">
        <f t="shared" ref="C39:C61" si="0">B39*($B$35/$B$34)</f>
        <v>93.399882728941193</v>
      </c>
      <c r="F39" s="61"/>
      <c r="G39" s="61"/>
    </row>
    <row r="40" spans="1:7" s="62" customFormat="1" x14ac:dyDescent="0.5">
      <c r="A40" s="61"/>
      <c r="B40" s="62">
        <f>'Impeller 6G 1150'!O11</f>
        <v>202.07599999999999</v>
      </c>
      <c r="C40" s="62">
        <f t="shared" si="0"/>
        <v>186.79976545788239</v>
      </c>
      <c r="F40" s="61"/>
      <c r="G40" s="61"/>
    </row>
    <row r="41" spans="1:7" s="62" customFormat="1" x14ac:dyDescent="0.5">
      <c r="A41" s="61"/>
      <c r="B41" s="62">
        <f>'Impeller 6G 1150'!O12</f>
        <v>301.73</v>
      </c>
      <c r="C41" s="62">
        <f t="shared" si="0"/>
        <v>278.92027371685339</v>
      </c>
      <c r="F41" s="61"/>
      <c r="G41" s="61"/>
    </row>
    <row r="42" spans="1:7" s="62" customFormat="1" x14ac:dyDescent="0.5">
      <c r="A42" s="61"/>
      <c r="B42" s="62">
        <f>'Impeller 6G 1150'!O13</f>
        <v>401.38400000000001</v>
      </c>
      <c r="C42" s="62">
        <f t="shared" si="0"/>
        <v>371.0407819758243</v>
      </c>
      <c r="F42" s="61"/>
      <c r="G42" s="61"/>
    </row>
    <row r="43" spans="1:7" s="62" customFormat="1" x14ac:dyDescent="0.5">
      <c r="A43" s="61"/>
      <c r="B43" s="62">
        <f>'Impeller 6G 1150'!O14</f>
        <v>502.42200000000003</v>
      </c>
      <c r="C43" s="62">
        <f t="shared" si="0"/>
        <v>464.44066470476554</v>
      </c>
      <c r="F43" s="61"/>
      <c r="G43" s="61"/>
    </row>
    <row r="44" spans="1:7" s="62" customFormat="1" x14ac:dyDescent="0.5">
      <c r="A44" s="61"/>
      <c r="B44" s="62">
        <f>'Impeller 6G 1150'!O15</f>
        <v>602.07600000000002</v>
      </c>
      <c r="C44" s="62">
        <f t="shared" si="0"/>
        <v>556.56117296373645</v>
      </c>
      <c r="F44" s="61"/>
      <c r="G44" s="61"/>
    </row>
    <row r="45" spans="1:7" s="62" customFormat="1" x14ac:dyDescent="0.5">
      <c r="A45" s="61"/>
      <c r="B45" s="62">
        <f>'Impeller 6G 1150'!O16</f>
        <v>703.11400000000003</v>
      </c>
      <c r="C45" s="62">
        <f t="shared" si="0"/>
        <v>649.96105569267763</v>
      </c>
      <c r="F45" s="61"/>
      <c r="G45" s="61"/>
    </row>
    <row r="46" spans="1:7" s="62" customFormat="1" x14ac:dyDescent="0.5">
      <c r="A46" s="61"/>
      <c r="B46" s="62">
        <f>'Impeller 6G 1150'!O17</f>
        <v>801.38400000000001</v>
      </c>
      <c r="C46" s="62">
        <f t="shared" si="0"/>
        <v>740.8021894816784</v>
      </c>
      <c r="F46" s="61"/>
      <c r="G46" s="61"/>
    </row>
    <row r="47" spans="1:7" s="62" customFormat="1" x14ac:dyDescent="0.5">
      <c r="A47" s="61"/>
      <c r="B47" s="62">
        <f>'Impeller 6G 1150'!O18</f>
        <v>903.80600000000004</v>
      </c>
      <c r="C47" s="62">
        <f t="shared" si="0"/>
        <v>835.48144668058978</v>
      </c>
      <c r="F47" s="61"/>
      <c r="G47" s="61"/>
    </row>
    <row r="48" spans="1:7" s="62" customFormat="1" x14ac:dyDescent="0.5">
      <c r="A48" s="61"/>
      <c r="B48" s="62">
        <f>'Impeller 6G 1150'!O19</f>
        <v>999.30799999999999</v>
      </c>
      <c r="C48" s="62">
        <f t="shared" si="0"/>
        <v>923.76383152965002</v>
      </c>
      <c r="F48" s="61"/>
      <c r="G48" s="61"/>
    </row>
    <row r="49" spans="1:7" s="62" customFormat="1" x14ac:dyDescent="0.5">
      <c r="A49" s="61"/>
      <c r="B49" s="62">
        <f>'Impeller 6G 1150'!O20</f>
        <v>1101.73</v>
      </c>
      <c r="C49" s="62">
        <f t="shared" si="0"/>
        <v>1018.4430887285614</v>
      </c>
      <c r="F49" s="61"/>
      <c r="G49" s="61"/>
    </row>
    <row r="50" spans="1:7" s="62" customFormat="1" x14ac:dyDescent="0.5">
      <c r="A50" s="61"/>
      <c r="B50" s="62">
        <f>'Impeller 6G 1150'!O21</f>
        <v>1201.3800000000001</v>
      </c>
      <c r="C50" s="62">
        <f t="shared" si="0"/>
        <v>1110.5598993734575</v>
      </c>
      <c r="F50" s="61"/>
      <c r="G50" s="61"/>
    </row>
    <row r="51" spans="1:7" s="62" customFormat="1" x14ac:dyDescent="0.5">
      <c r="A51" s="61"/>
      <c r="B51" s="62">
        <f>'Impeller 6G 1150'!O22</f>
        <v>1302.42</v>
      </c>
      <c r="C51" s="62">
        <f t="shared" si="0"/>
        <v>1203.9616309094361</v>
      </c>
      <c r="F51" s="61"/>
      <c r="G51" s="61"/>
    </row>
    <row r="52" spans="1:7" s="62" customFormat="1" x14ac:dyDescent="0.5">
      <c r="A52" s="61"/>
      <c r="B52" s="62">
        <f>'Impeller 6G 1150'!O23</f>
        <v>1402.08</v>
      </c>
      <c r="C52" s="62">
        <f t="shared" si="0"/>
        <v>1296.0876855895194</v>
      </c>
      <c r="F52" s="61"/>
      <c r="G52" s="61"/>
    </row>
    <row r="53" spans="1:7" s="62" customFormat="1" x14ac:dyDescent="0.5">
      <c r="A53" s="61"/>
      <c r="B53" s="62">
        <f>'Impeller 6G 1150'!O24</f>
        <v>1501.73</v>
      </c>
      <c r="C53" s="62">
        <f t="shared" si="0"/>
        <v>1388.2044962344155</v>
      </c>
      <c r="F53" s="61"/>
      <c r="G53" s="61"/>
    </row>
    <row r="54" spans="1:7" s="62" customFormat="1" x14ac:dyDescent="0.5">
      <c r="A54" s="61"/>
      <c r="B54" s="62">
        <f>'Impeller 6G 1150'!O25</f>
        <v>1600</v>
      </c>
      <c r="C54" s="62">
        <f t="shared" si="0"/>
        <v>1479.0456300234162</v>
      </c>
      <c r="F54" s="61"/>
      <c r="G54" s="61"/>
    </row>
    <row r="55" spans="1:7" x14ac:dyDescent="0.5">
      <c r="B55" s="62">
        <f>'Impeller 6G 1150'!O26</f>
        <v>1647.06</v>
      </c>
      <c r="C55" s="62">
        <f t="shared" si="0"/>
        <v>1522.5480596164798</v>
      </c>
    </row>
    <row r="56" spans="1:7" x14ac:dyDescent="0.5">
      <c r="B56" s="62">
        <f>'Impeller 6G 1150'!O27</f>
        <v>1699.65</v>
      </c>
      <c r="C56" s="62">
        <f t="shared" si="0"/>
        <v>1571.1624406683122</v>
      </c>
    </row>
    <row r="57" spans="1:7" x14ac:dyDescent="0.5">
      <c r="B57" s="62">
        <f>'Impeller 6G 1150'!O28</f>
        <v>1791</v>
      </c>
      <c r="C57" s="62">
        <f t="shared" si="0"/>
        <v>1655.6067021074614</v>
      </c>
    </row>
    <row r="58" spans="1:7" x14ac:dyDescent="0.5">
      <c r="B58" s="62">
        <f>'Impeller 6G 1150'!O29</f>
        <v>1847.75</v>
      </c>
      <c r="C58" s="62">
        <f t="shared" si="0"/>
        <v>1708.0666017973545</v>
      </c>
    </row>
    <row r="59" spans="1:7" x14ac:dyDescent="0.5">
      <c r="B59" s="62">
        <f>'Impeller 6G 1150'!O30</f>
        <v>1903.11</v>
      </c>
      <c r="C59" s="62">
        <f t="shared" si="0"/>
        <v>1759.2415805961646</v>
      </c>
    </row>
    <row r="60" spans="1:7" x14ac:dyDescent="0.5">
      <c r="B60" s="62">
        <f>'Impeller 6G 1150'!O31</f>
        <v>1948.79</v>
      </c>
      <c r="C60" s="62">
        <f t="shared" si="0"/>
        <v>1801.4683333333332</v>
      </c>
    </row>
    <row r="61" spans="1:7" x14ac:dyDescent="0.5">
      <c r="B61" s="62">
        <f>'Impeller 6G 1150'!O32</f>
        <v>2013.84</v>
      </c>
      <c r="C61" s="62">
        <f t="shared" si="0"/>
        <v>1861.6007822289728</v>
      </c>
    </row>
    <row r="62" spans="1:7" x14ac:dyDescent="0.5">
      <c r="A62" s="58" t="s">
        <v>95</v>
      </c>
      <c r="B62" s="59"/>
      <c r="C62" s="59"/>
      <c r="D62" s="59"/>
      <c r="E62" s="59"/>
      <c r="F62" s="60"/>
      <c r="G62" s="60"/>
    </row>
    <row r="63" spans="1:7" x14ac:dyDescent="0.5">
      <c r="A63" s="61" t="s">
        <v>84</v>
      </c>
    </row>
    <row r="73" spans="2:5" s="69" customFormat="1" ht="66.7" x14ac:dyDescent="0.5">
      <c r="B73" s="67" t="str">
        <f>TEXT(B34,"#,###")&amp;" rpm Impeller Flow, gpm (Known value from previous calculation)"</f>
        <v>1,150 rpm Impeller Flow, gpm (Known value from previous calculation)</v>
      </c>
      <c r="C73" s="68" t="str">
        <f>TEXT(B35,"#,##")&amp;" rpm Impeller Flow, gpm (Calculated above)"</f>
        <v>1,063 rpm Impeller Flow, gpm (Calculated above)</v>
      </c>
      <c r="D73" s="67" t="str">
        <f>TEXT(B34,"#,##")&amp;" rpm Impeller Head, ft.w.c. (Known value from previous calculation)"</f>
        <v>1,150 rpm Impeller Head, ft.w.c. (Known value from previous calculation)</v>
      </c>
      <c r="E73" s="68" t="str">
        <f>TEXT(B35,"#,###")&amp;" rpm Impeller Head, ft.w.c. (From square law)"</f>
        <v>1,063 rpm Impeller Head, ft.w.c. (From square law)</v>
      </c>
    </row>
    <row r="74" spans="2:5" x14ac:dyDescent="0.5">
      <c r="B74" s="62">
        <f>B38</f>
        <v>1.0000000000000001E-9</v>
      </c>
      <c r="C74" s="70">
        <f>C38</f>
        <v>9.2440351876463522E-10</v>
      </c>
      <c r="D74" s="62">
        <f>'Impeller 6G 1150'!P9</f>
        <v>83.528300000000002</v>
      </c>
      <c r="E74" s="70">
        <f>D74*((C74/B74)^2)</f>
        <v>71.376758738414438</v>
      </c>
    </row>
    <row r="75" spans="2:5" x14ac:dyDescent="0.5">
      <c r="B75" s="62">
        <f>B39</f>
        <v>101.038</v>
      </c>
      <c r="C75" s="70">
        <f>C39</f>
        <v>93.399882728941193</v>
      </c>
      <c r="D75" s="62">
        <f>'Impeller 6G 1150'!P10</f>
        <v>83.625699999999995</v>
      </c>
      <c r="E75" s="70">
        <f>D75*((C75/B75)^2)</f>
        <v>71.459989168114546</v>
      </c>
    </row>
    <row r="76" spans="2:5" x14ac:dyDescent="0.5">
      <c r="B76" s="62">
        <f t="shared" ref="B76:C91" si="1">B40</f>
        <v>202.07599999999999</v>
      </c>
      <c r="C76" s="70">
        <f t="shared" si="1"/>
        <v>186.79976545788239</v>
      </c>
      <c r="D76" s="62">
        <f>'Impeller 6G 1150'!P11</f>
        <v>83.528300000000002</v>
      </c>
      <c r="E76" s="70">
        <f t="shared" ref="E76:E97" si="2">D76*((C76/B76)^2)</f>
        <v>71.376758738414424</v>
      </c>
    </row>
    <row r="77" spans="2:5" x14ac:dyDescent="0.5">
      <c r="B77" s="62">
        <f t="shared" si="1"/>
        <v>301.73</v>
      </c>
      <c r="C77" s="70">
        <f t="shared" si="1"/>
        <v>278.92027371685339</v>
      </c>
      <c r="D77" s="62">
        <f>'Impeller 6G 1150'!P12</f>
        <v>83.430800000000005</v>
      </c>
      <c r="E77" s="70">
        <f t="shared" si="2"/>
        <v>71.293442856527776</v>
      </c>
    </row>
    <row r="78" spans="2:5" x14ac:dyDescent="0.5">
      <c r="B78" s="62">
        <f t="shared" si="1"/>
        <v>401.38400000000001</v>
      </c>
      <c r="C78" s="70">
        <f t="shared" si="1"/>
        <v>371.0407819758243</v>
      </c>
      <c r="D78" s="62">
        <f>'Impeller 6G 1150'!P13</f>
        <v>83.235900000000001</v>
      </c>
      <c r="E78" s="70">
        <f t="shared" si="2"/>
        <v>71.126896544940948</v>
      </c>
    </row>
    <row r="79" spans="2:5" x14ac:dyDescent="0.5">
      <c r="B79" s="62">
        <f t="shared" si="1"/>
        <v>502.42200000000003</v>
      </c>
      <c r="C79" s="70">
        <f t="shared" si="1"/>
        <v>464.44066470476554</v>
      </c>
      <c r="D79" s="62">
        <f>'Impeller 6G 1150'!P14</f>
        <v>82.846000000000004</v>
      </c>
      <c r="E79" s="70">
        <f t="shared" si="2"/>
        <v>70.793718469580767</v>
      </c>
    </row>
    <row r="80" spans="2:5" x14ac:dyDescent="0.5">
      <c r="B80" s="62">
        <f t="shared" si="1"/>
        <v>602.07600000000002</v>
      </c>
      <c r="C80" s="70">
        <f t="shared" si="1"/>
        <v>556.56117296373645</v>
      </c>
      <c r="D80" s="62">
        <f>'Impeller 6G 1150'!P15</f>
        <v>82.456100000000006</v>
      </c>
      <c r="E80" s="70">
        <f t="shared" si="2"/>
        <v>70.460540394220587</v>
      </c>
    </row>
    <row r="81" spans="2:5" x14ac:dyDescent="0.5">
      <c r="B81" s="62">
        <f t="shared" si="1"/>
        <v>703.11400000000003</v>
      </c>
      <c r="C81" s="70">
        <f t="shared" si="1"/>
        <v>649.96105569267763</v>
      </c>
      <c r="D81" s="62">
        <f>'Impeller 6G 1150'!P16</f>
        <v>82.066299999999998</v>
      </c>
      <c r="E81" s="70">
        <f t="shared" si="2"/>
        <v>70.127447771046931</v>
      </c>
    </row>
    <row r="82" spans="2:5" x14ac:dyDescent="0.5">
      <c r="B82" s="62">
        <f t="shared" si="1"/>
        <v>801.38400000000001</v>
      </c>
      <c r="C82" s="70">
        <f t="shared" si="1"/>
        <v>740.8021894816784</v>
      </c>
      <c r="D82" s="62">
        <f>'Impeller 6G 1150'!P17</f>
        <v>81.676400000000001</v>
      </c>
      <c r="E82" s="70">
        <f t="shared" si="2"/>
        <v>69.794269695686765</v>
      </c>
    </row>
    <row r="83" spans="2:5" x14ac:dyDescent="0.5">
      <c r="B83" s="62">
        <f t="shared" si="1"/>
        <v>903.80600000000004</v>
      </c>
      <c r="C83" s="70">
        <f t="shared" si="1"/>
        <v>835.48144668058978</v>
      </c>
      <c r="D83" s="62">
        <f>'Impeller 6G 1150'!P18</f>
        <v>80.994100000000003</v>
      </c>
      <c r="E83" s="70">
        <f t="shared" si="2"/>
        <v>69.21122942685308</v>
      </c>
    </row>
    <row r="84" spans="2:5" x14ac:dyDescent="0.5">
      <c r="B84" s="62">
        <f t="shared" si="1"/>
        <v>999.30799999999999</v>
      </c>
      <c r="C84" s="70">
        <f t="shared" si="1"/>
        <v>923.76383152965002</v>
      </c>
      <c r="D84" s="62">
        <f>'Impeller 6G 1150'!P19</f>
        <v>80.019499999999994</v>
      </c>
      <c r="E84" s="70">
        <f t="shared" si="2"/>
        <v>68.378412416732459</v>
      </c>
    </row>
    <row r="85" spans="2:5" x14ac:dyDescent="0.5">
      <c r="B85" s="62">
        <f t="shared" si="1"/>
        <v>1101.73</v>
      </c>
      <c r="C85" s="70">
        <f t="shared" si="1"/>
        <v>1018.4430887285614</v>
      </c>
      <c r="D85" s="62">
        <f>'Impeller 6G 1150'!P20</f>
        <v>78.3626</v>
      </c>
      <c r="E85" s="70">
        <f t="shared" si="2"/>
        <v>66.962555137778153</v>
      </c>
    </row>
    <row r="86" spans="2:5" x14ac:dyDescent="0.5">
      <c r="B86" s="62">
        <f t="shared" si="1"/>
        <v>1201.3800000000001</v>
      </c>
      <c r="C86" s="70">
        <f t="shared" si="1"/>
        <v>1110.5598993734575</v>
      </c>
      <c r="D86" s="62">
        <f>'Impeller 6G 1150'!P21</f>
        <v>76.413300000000007</v>
      </c>
      <c r="E86" s="70">
        <f t="shared" si="2"/>
        <v>65.296835665350358</v>
      </c>
    </row>
    <row r="87" spans="2:5" x14ac:dyDescent="0.5">
      <c r="B87" s="62">
        <f t="shared" si="1"/>
        <v>1302.42</v>
      </c>
      <c r="C87" s="70">
        <f t="shared" si="1"/>
        <v>1203.9616309094361</v>
      </c>
      <c r="D87" s="62">
        <f>'Impeller 6G 1150'!P22</f>
        <v>74.074100000000001</v>
      </c>
      <c r="E87" s="70">
        <f t="shared" si="2"/>
        <v>63.29793811756236</v>
      </c>
    </row>
    <row r="88" spans="2:5" x14ac:dyDescent="0.5">
      <c r="B88" s="62">
        <f t="shared" si="1"/>
        <v>1402.08</v>
      </c>
      <c r="C88" s="70">
        <f t="shared" si="1"/>
        <v>1296.0876855895194</v>
      </c>
      <c r="D88" s="62">
        <f>'Impeller 6G 1150'!P23</f>
        <v>71.540000000000006</v>
      </c>
      <c r="E88" s="70">
        <f t="shared" si="2"/>
        <v>61.132494258187563</v>
      </c>
    </row>
    <row r="89" spans="2:5" x14ac:dyDescent="0.5">
      <c r="B89" s="62">
        <f t="shared" si="1"/>
        <v>1501.73</v>
      </c>
      <c r="C89" s="70">
        <f t="shared" si="1"/>
        <v>1388.2044962344155</v>
      </c>
      <c r="D89" s="62">
        <f>'Impeller 6G 1150'!P24</f>
        <v>68.518500000000003</v>
      </c>
      <c r="E89" s="70">
        <f t="shared" si="2"/>
        <v>58.550556441565909</v>
      </c>
    </row>
    <row r="90" spans="2:5" x14ac:dyDescent="0.5">
      <c r="B90" s="62">
        <f t="shared" si="1"/>
        <v>1600</v>
      </c>
      <c r="C90" s="70">
        <f t="shared" si="1"/>
        <v>1479.0456300234162</v>
      </c>
      <c r="D90" s="62">
        <f>'Impeller 6G 1150'!P25</f>
        <v>64.619900000000001</v>
      </c>
      <c r="E90" s="70">
        <f t="shared" si="2"/>
        <v>55.219117496710304</v>
      </c>
    </row>
    <row r="91" spans="2:5" x14ac:dyDescent="0.5">
      <c r="B91" s="62">
        <f t="shared" si="1"/>
        <v>1647.06</v>
      </c>
      <c r="C91" s="70">
        <f t="shared" si="1"/>
        <v>1522.5480596164798</v>
      </c>
      <c r="D91" s="62">
        <f>'Impeller 6G 1150'!P26</f>
        <v>62.4756</v>
      </c>
      <c r="E91" s="70">
        <f t="shared" si="2"/>
        <v>53.386766260509134</v>
      </c>
    </row>
    <row r="92" spans="2:5" x14ac:dyDescent="0.5">
      <c r="B92" s="62">
        <f t="shared" ref="B92:C97" si="3">B56</f>
        <v>1699.65</v>
      </c>
      <c r="C92" s="70">
        <f t="shared" si="3"/>
        <v>1571.1624406683122</v>
      </c>
      <c r="D92" s="62">
        <f>'Impeller 6G 1150'!P27</f>
        <v>60.039000000000001</v>
      </c>
      <c r="E92" s="70">
        <f t="shared" si="2"/>
        <v>51.304638283021021</v>
      </c>
    </row>
    <row r="93" spans="2:5" x14ac:dyDescent="0.5">
      <c r="B93" s="62">
        <f t="shared" si="3"/>
        <v>1791</v>
      </c>
      <c r="C93" s="70">
        <f t="shared" si="3"/>
        <v>1655.6067021074614</v>
      </c>
      <c r="D93" s="62">
        <f>'Impeller 6G 1150'!P28</f>
        <v>55.165700000000001</v>
      </c>
      <c r="E93" s="70">
        <f t="shared" si="2"/>
        <v>47.140296875858233</v>
      </c>
    </row>
    <row r="94" spans="2:5" x14ac:dyDescent="0.5">
      <c r="B94" s="62">
        <f t="shared" si="3"/>
        <v>1847.75</v>
      </c>
      <c r="C94" s="70">
        <f t="shared" si="3"/>
        <v>1708.0666017973545</v>
      </c>
      <c r="D94" s="62">
        <f>'Impeller 6G 1150'!P29</f>
        <v>51.3645</v>
      </c>
      <c r="E94" s="70">
        <f t="shared" si="2"/>
        <v>43.892088360702765</v>
      </c>
    </row>
    <row r="95" spans="2:5" x14ac:dyDescent="0.5">
      <c r="B95" s="62">
        <f t="shared" si="3"/>
        <v>1903.11</v>
      </c>
      <c r="C95" s="70">
        <f t="shared" si="3"/>
        <v>1759.2415805961646</v>
      </c>
      <c r="D95" s="62">
        <f>'Impeller 6G 1150'!P30</f>
        <v>47.368400000000001</v>
      </c>
      <c r="E95" s="70">
        <f t="shared" si="2"/>
        <v>40.477333533960476</v>
      </c>
    </row>
    <row r="96" spans="2:5" x14ac:dyDescent="0.5">
      <c r="B96" s="62">
        <f t="shared" si="3"/>
        <v>1948.79</v>
      </c>
      <c r="C96" s="70">
        <f t="shared" si="3"/>
        <v>1801.4683333333332</v>
      </c>
      <c r="D96" s="62">
        <f>'Impeller 6G 1150'!P31</f>
        <v>43.8596</v>
      </c>
      <c r="E96" s="70">
        <f t="shared" si="2"/>
        <v>37.478987212278497</v>
      </c>
    </row>
    <row r="97" spans="1:7" x14ac:dyDescent="0.5">
      <c r="B97" s="62">
        <f t="shared" si="3"/>
        <v>2013.84</v>
      </c>
      <c r="C97" s="70">
        <f t="shared" si="3"/>
        <v>1861.6007822289728</v>
      </c>
      <c r="D97" s="62">
        <f>'Impeller 6G 1150'!P32</f>
        <v>38.401600000000002</v>
      </c>
      <c r="E97" s="70">
        <f t="shared" si="2"/>
        <v>32.815006870355269</v>
      </c>
    </row>
    <row r="98" spans="1:7" x14ac:dyDescent="0.5">
      <c r="A98" s="58" t="s">
        <v>96</v>
      </c>
      <c r="B98" s="59"/>
      <c r="C98" s="59"/>
      <c r="D98" s="59"/>
      <c r="E98" s="59"/>
      <c r="F98" s="60"/>
      <c r="G98" s="60"/>
    </row>
  </sheetData>
  <pageMargins left="0.7" right="0.7" top="0.75" bottom="0.75" header="0.3" footer="0.3"/>
  <drawing r:id="rId1"/>
  <legacyDrawing r:id="rId2"/>
  <oleObjects>
    <mc:AlternateContent xmlns:mc="http://schemas.openxmlformats.org/markup-compatibility/2006">
      <mc:Choice Requires="x14">
        <oleObject progId="Equation.DSMT4" shapeId="58369" r:id="rId3">
          <objectPr defaultSize="0" autoPict="0" r:id="rId4">
            <anchor moveWithCells="1">
              <from>
                <xdr:col>0</xdr:col>
                <xdr:colOff>0</xdr:colOff>
                <xdr:row>63</xdr:row>
                <xdr:rowOff>160867</xdr:rowOff>
              </from>
              <to>
                <xdr:col>2</xdr:col>
                <xdr:colOff>1134533</xdr:colOff>
                <xdr:row>71</xdr:row>
                <xdr:rowOff>122767</xdr:rowOff>
              </to>
            </anchor>
          </objectPr>
        </oleObject>
      </mc:Choice>
      <mc:Fallback>
        <oleObject progId="Equation.DSMT4" shapeId="58369" r:id="rId3"/>
      </mc:Fallback>
    </mc:AlternateContent>
    <mc:AlternateContent xmlns:mc="http://schemas.openxmlformats.org/markup-compatibility/2006">
      <mc:Choice Requires="x14">
        <oleObject progId="Equation.DSMT4" shapeId="58370" r:id="rId5">
          <objectPr defaultSize="0" autoPict="0" r:id="rId6">
            <anchor moveWithCells="1">
              <from>
                <xdr:col>0</xdr:col>
                <xdr:colOff>0</xdr:colOff>
                <xdr:row>2</xdr:row>
                <xdr:rowOff>0</xdr:rowOff>
              </from>
              <to>
                <xdr:col>3</xdr:col>
                <xdr:colOff>1087967</xdr:colOff>
                <xdr:row>15</xdr:row>
                <xdr:rowOff>8467</xdr:rowOff>
              </to>
            </anchor>
          </objectPr>
        </oleObject>
      </mc:Choice>
      <mc:Fallback>
        <oleObject progId="Equation.DSMT4" shapeId="58370" r:id="rId5"/>
      </mc:Fallback>
    </mc:AlternateContent>
    <mc:AlternateContent xmlns:mc="http://schemas.openxmlformats.org/markup-compatibility/2006">
      <mc:Choice Requires="x14">
        <oleObject progId="Equation.DSMT4" shapeId="58371" r:id="rId7">
          <objectPr defaultSize="0" autoPict="0" r:id="rId8">
            <anchor moveWithCells="1">
              <from>
                <xdr:col>0</xdr:col>
                <xdr:colOff>0</xdr:colOff>
                <xdr:row>24</xdr:row>
                <xdr:rowOff>0</xdr:rowOff>
              </from>
              <to>
                <xdr:col>3</xdr:col>
                <xdr:colOff>1066800</xdr:colOff>
                <xdr:row>32</xdr:row>
                <xdr:rowOff>67733</xdr:rowOff>
              </to>
            </anchor>
          </objectPr>
        </oleObject>
      </mc:Choice>
      <mc:Fallback>
        <oleObject progId="Equation.DSMT4" shapeId="58371" r:id="rId7"/>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8"/>
  </sheetPr>
  <dimension ref="A1:N73"/>
  <sheetViews>
    <sheetView defaultGridColor="0" topLeftCell="A31" colorId="22" workbookViewId="0">
      <selection activeCell="F22" sqref="F22:J22"/>
    </sheetView>
  </sheetViews>
  <sheetFormatPr defaultColWidth="15.703125" defaultRowHeight="18.7" x14ac:dyDescent="0.5"/>
  <cols>
    <col min="1" max="1" width="22.41015625" style="10" customWidth="1"/>
    <col min="2" max="2" width="36.703125" style="11" customWidth="1"/>
    <col min="3" max="3" width="16.703125" style="10" customWidth="1"/>
    <col min="4" max="4" width="13.87890625" style="10" customWidth="1"/>
    <col min="5" max="5" width="15.703125" style="10"/>
    <col min="6" max="7" width="16.703125" style="10" customWidth="1"/>
    <col min="8" max="8" width="19.5859375" style="10" customWidth="1"/>
    <col min="9" max="9" width="15.703125" style="10"/>
    <col min="10" max="10" width="16.703125" style="10" customWidth="1"/>
    <col min="11" max="11" width="19.5859375" style="10" customWidth="1"/>
    <col min="12" max="13" width="15.703125" style="10"/>
    <col min="14" max="15" width="21" style="10" customWidth="1"/>
    <col min="16" max="17" width="22.41015625" style="10" customWidth="1"/>
    <col min="18" max="18" width="15.703125" style="10"/>
    <col min="19" max="19" width="16.703125" style="10" customWidth="1"/>
    <col min="20" max="20" width="21" style="10" customWidth="1"/>
    <col min="21" max="16384" width="15.703125" style="10"/>
  </cols>
  <sheetData>
    <row r="1" spans="1:14" s="48" customFormat="1" ht="117" customHeight="1" x14ac:dyDescent="0.5">
      <c r="B1" s="50"/>
      <c r="C1" s="49"/>
    </row>
    <row r="2" spans="1:14" ht="19.5" customHeight="1" x14ac:dyDescent="0.5">
      <c r="A2" s="47" t="s">
        <v>0</v>
      </c>
      <c r="B2" s="46"/>
      <c r="C2" s="43"/>
    </row>
    <row r="3" spans="1:14" ht="19.5" customHeight="1" x14ac:dyDescent="0.5">
      <c r="A3" s="47" t="s">
        <v>1</v>
      </c>
      <c r="B3" s="46"/>
      <c r="C3" s="43"/>
    </row>
    <row r="4" spans="1:14" x14ac:dyDescent="0.5">
      <c r="A4" s="45" t="s">
        <v>2</v>
      </c>
      <c r="B4" s="44"/>
      <c r="C4" s="43"/>
      <c r="D4" s="43"/>
    </row>
    <row r="5" spans="1:14" s="27" customFormat="1" x14ac:dyDescent="0.8">
      <c r="A5" s="41" t="s">
        <v>3</v>
      </c>
      <c r="B5" s="42">
        <v>42831.272505439818</v>
      </c>
      <c r="C5" s="31"/>
      <c r="D5" s="31"/>
      <c r="E5" s="28"/>
      <c r="F5" s="28"/>
      <c r="G5" s="30"/>
      <c r="H5" s="28"/>
      <c r="I5" s="28"/>
      <c r="J5" s="28"/>
      <c r="K5" s="28"/>
      <c r="L5" s="29"/>
      <c r="M5" s="28"/>
      <c r="N5" s="28"/>
    </row>
    <row r="6" spans="1:14" s="27" customFormat="1" x14ac:dyDescent="0.8">
      <c r="A6" s="41" t="s">
        <v>4</v>
      </c>
      <c r="B6" s="32" t="s">
        <v>64</v>
      </c>
      <c r="C6" s="31"/>
      <c r="D6" s="31"/>
      <c r="E6" s="28"/>
      <c r="F6" s="28"/>
      <c r="G6" s="30"/>
      <c r="H6" s="28"/>
      <c r="I6" s="28"/>
      <c r="J6" s="28"/>
      <c r="K6" s="28"/>
      <c r="L6" s="29"/>
      <c r="M6" s="28"/>
      <c r="N6" s="28"/>
    </row>
    <row r="7" spans="1:14" s="27" customFormat="1" x14ac:dyDescent="0.8">
      <c r="A7" s="41" t="s">
        <v>6</v>
      </c>
      <c r="B7" s="32"/>
      <c r="C7" s="31"/>
      <c r="D7" s="31"/>
      <c r="E7" s="28"/>
      <c r="F7" s="28"/>
      <c r="G7" s="30"/>
      <c r="H7" s="28"/>
      <c r="I7" s="28"/>
      <c r="J7" s="28"/>
      <c r="K7" s="28"/>
      <c r="L7" s="29"/>
      <c r="M7" s="28"/>
      <c r="N7" s="28"/>
    </row>
    <row r="8" spans="1:14" s="27" customFormat="1" x14ac:dyDescent="0.8">
      <c r="A8" s="41" t="s">
        <v>8</v>
      </c>
      <c r="B8" s="32" t="s">
        <v>9</v>
      </c>
      <c r="C8" s="31"/>
      <c r="D8" s="31"/>
      <c r="E8" s="28"/>
      <c r="F8" s="28"/>
      <c r="G8" s="28"/>
      <c r="H8" s="28"/>
      <c r="I8" s="28"/>
      <c r="J8" s="28"/>
      <c r="L8" s="29"/>
      <c r="M8" s="28"/>
      <c r="N8" s="28"/>
    </row>
    <row r="9" spans="1:14" s="27" customFormat="1" x14ac:dyDescent="0.5">
      <c r="A9" s="40" t="s">
        <v>10</v>
      </c>
      <c r="B9" s="31"/>
      <c r="C9" s="31"/>
      <c r="D9" s="31"/>
      <c r="E9" s="28"/>
      <c r="F9" s="28"/>
      <c r="G9" s="28"/>
      <c r="H9" s="28"/>
      <c r="I9" s="28"/>
      <c r="J9" s="28"/>
      <c r="L9" s="29"/>
      <c r="M9" s="28"/>
      <c r="N9" s="28"/>
    </row>
    <row r="10" spans="1:14" s="27" customFormat="1" x14ac:dyDescent="0.5">
      <c r="A10" s="33">
        <v>1</v>
      </c>
      <c r="B10" s="37" t="s">
        <v>63</v>
      </c>
      <c r="C10" s="39">
        <v>325</v>
      </c>
      <c r="D10" s="38" t="s">
        <v>125</v>
      </c>
      <c r="E10" s="28"/>
      <c r="F10" s="28"/>
      <c r="H10" s="28"/>
      <c r="I10" s="28"/>
      <c r="J10" s="28"/>
      <c r="L10" s="29"/>
      <c r="M10" s="28"/>
      <c r="N10" s="28"/>
    </row>
    <row r="11" spans="1:14" s="27" customFormat="1" x14ac:dyDescent="0.5">
      <c r="A11" s="33">
        <f>A10+1</f>
        <v>2</v>
      </c>
      <c r="B11" s="37" t="s">
        <v>62</v>
      </c>
      <c r="C11" s="36">
        <f>'Design Point System Curve'!C11</f>
        <v>70</v>
      </c>
      <c r="D11" s="32" t="s">
        <v>98</v>
      </c>
      <c r="E11" s="28"/>
      <c r="F11" s="28"/>
      <c r="G11" s="28"/>
      <c r="H11" s="28"/>
      <c r="I11" s="28"/>
      <c r="J11" s="28"/>
      <c r="L11" s="29"/>
      <c r="M11" s="28"/>
      <c r="N11" s="28"/>
    </row>
    <row r="12" spans="1:14" s="27" customFormat="1" x14ac:dyDescent="0.5">
      <c r="A12" s="33">
        <f>A11+1</f>
        <v>3</v>
      </c>
      <c r="B12" s="37" t="s">
        <v>61</v>
      </c>
      <c r="C12" s="36">
        <v>0</v>
      </c>
      <c r="D12" s="32" t="s">
        <v>111</v>
      </c>
      <c r="E12" s="28"/>
      <c r="F12" s="28"/>
      <c r="G12" s="28"/>
      <c r="H12" s="28"/>
      <c r="I12" s="28"/>
      <c r="J12" s="28"/>
      <c r="L12" s="29"/>
      <c r="M12" s="28"/>
      <c r="N12" s="28"/>
    </row>
    <row r="13" spans="1:14" s="27" customFormat="1" x14ac:dyDescent="0.5">
      <c r="A13" s="33">
        <v>4</v>
      </c>
      <c r="B13" s="37" t="s">
        <v>112</v>
      </c>
      <c r="C13" s="83">
        <v>2</v>
      </c>
      <c r="D13" s="32" t="s">
        <v>113</v>
      </c>
      <c r="E13" s="28"/>
      <c r="F13" s="28"/>
      <c r="G13" s="28"/>
      <c r="H13" s="28"/>
      <c r="I13" s="28"/>
      <c r="J13" s="28"/>
      <c r="L13" s="35"/>
      <c r="M13" s="28"/>
      <c r="N13" s="34"/>
    </row>
    <row r="14" spans="1:14" s="27" customFormat="1" x14ac:dyDescent="0.5">
      <c r="A14" s="33">
        <v>5</v>
      </c>
      <c r="B14" s="37" t="s">
        <v>78</v>
      </c>
      <c r="C14" s="95">
        <v>0.5</v>
      </c>
      <c r="D14" s="32" t="s">
        <v>137</v>
      </c>
      <c r="E14" s="28"/>
      <c r="F14" s="28"/>
      <c r="G14" s="28"/>
      <c r="H14" s="28"/>
      <c r="I14" s="28"/>
      <c r="J14" s="28"/>
      <c r="L14" s="35"/>
      <c r="M14" s="28"/>
      <c r="N14" s="34"/>
    </row>
    <row r="15" spans="1:14" s="27" customFormat="1" x14ac:dyDescent="0.5">
      <c r="A15" s="33">
        <v>6</v>
      </c>
      <c r="B15" s="37" t="s">
        <v>76</v>
      </c>
      <c r="C15" s="57">
        <f>(C10*C11)/(3960*C14)</f>
        <v>11.48989898989899</v>
      </c>
      <c r="D15" s="32" t="s">
        <v>77</v>
      </c>
      <c r="E15" s="28"/>
      <c r="F15" s="28"/>
      <c r="G15" s="30"/>
      <c r="H15" s="28"/>
      <c r="I15" s="28"/>
      <c r="J15" s="28"/>
      <c r="K15" s="28"/>
      <c r="L15" s="29"/>
      <c r="M15" s="28"/>
      <c r="N15" s="28"/>
    </row>
    <row r="16" spans="1:14" s="27" customFormat="1" x14ac:dyDescent="0.5">
      <c r="A16" s="33">
        <v>7</v>
      </c>
      <c r="B16" s="37" t="s">
        <v>92</v>
      </c>
      <c r="C16" s="57">
        <v>13.5</v>
      </c>
      <c r="D16" s="32" t="s">
        <v>81</v>
      </c>
      <c r="E16" s="28"/>
      <c r="F16" s="28"/>
      <c r="G16" s="30"/>
      <c r="H16" s="28"/>
      <c r="I16" s="28"/>
      <c r="J16" s="28"/>
      <c r="K16" s="28"/>
      <c r="L16" s="29"/>
      <c r="M16" s="28"/>
      <c r="N16" s="28"/>
    </row>
    <row r="17" spans="1:14" s="27" customFormat="1" x14ac:dyDescent="0.5">
      <c r="A17" s="33">
        <v>8</v>
      </c>
      <c r="B17" s="37" t="s">
        <v>93</v>
      </c>
      <c r="C17" s="57">
        <v>10</v>
      </c>
      <c r="D17" s="32" t="s">
        <v>81</v>
      </c>
      <c r="E17" s="28"/>
      <c r="F17" s="28"/>
      <c r="G17" s="30"/>
      <c r="H17" s="28"/>
      <c r="I17" s="28"/>
      <c r="J17" s="28"/>
      <c r="K17" s="28"/>
      <c r="L17" s="29"/>
      <c r="M17" s="28"/>
      <c r="N17" s="28"/>
    </row>
    <row r="18" spans="1:14" s="27" customFormat="1" x14ac:dyDescent="0.5">
      <c r="A18" s="33"/>
      <c r="B18" s="32" t="s">
        <v>114</v>
      </c>
      <c r="C18" s="57"/>
      <c r="D18" s="32"/>
      <c r="E18" s="28"/>
      <c r="F18" s="28"/>
      <c r="G18" s="30"/>
      <c r="H18" s="28"/>
      <c r="I18" s="28"/>
      <c r="J18" s="28"/>
      <c r="K18" s="28"/>
      <c r="L18" s="29"/>
      <c r="M18" s="28"/>
      <c r="N18" s="28"/>
    </row>
    <row r="19" spans="1:14" s="27" customFormat="1" x14ac:dyDescent="0.5">
      <c r="A19" s="33"/>
      <c r="B19" s="32" t="s">
        <v>115</v>
      </c>
      <c r="C19" s="57"/>
      <c r="D19" s="32"/>
      <c r="E19" s="28"/>
      <c r="F19" s="28"/>
      <c r="G19" s="30"/>
      <c r="H19" s="28"/>
      <c r="I19" s="28"/>
      <c r="J19" s="28"/>
      <c r="K19" s="28"/>
      <c r="L19" s="29"/>
      <c r="M19" s="28"/>
      <c r="N19" s="28"/>
    </row>
    <row r="20" spans="1:14" x14ac:dyDescent="0.5">
      <c r="A20" s="26"/>
      <c r="B20" s="25"/>
      <c r="C20" s="20"/>
      <c r="D20" s="20"/>
    </row>
    <row r="21" spans="1:14" ht="24.95" customHeight="1" x14ac:dyDescent="0.5">
      <c r="A21" s="24"/>
      <c r="B21" s="240" t="s">
        <v>60</v>
      </c>
      <c r="C21" s="240"/>
      <c r="D21" s="240"/>
      <c r="E21" s="98"/>
      <c r="F21" s="237" t="s">
        <v>139</v>
      </c>
      <c r="G21" s="237"/>
      <c r="H21" s="237"/>
      <c r="I21" s="237"/>
      <c r="J21" s="237"/>
      <c r="K21" s="98"/>
    </row>
    <row r="22" spans="1:14" ht="24.95" customHeight="1" x14ac:dyDescent="0.5">
      <c r="A22" s="13"/>
      <c r="B22" s="80" t="s">
        <v>59</v>
      </c>
      <c r="C22" s="81" t="s">
        <v>49</v>
      </c>
      <c r="D22" s="82" t="s">
        <v>116</v>
      </c>
      <c r="E22" s="100"/>
      <c r="F22" s="237" t="s">
        <v>140</v>
      </c>
      <c r="G22" s="237"/>
      <c r="H22" s="237"/>
      <c r="I22" s="237"/>
      <c r="J22" s="237"/>
      <c r="K22" s="100"/>
    </row>
    <row r="23" spans="1:14" x14ac:dyDescent="0.5">
      <c r="A23" s="13"/>
      <c r="B23" s="21" t="s">
        <v>100</v>
      </c>
      <c r="C23" s="23">
        <f>1.6*C25</f>
        <v>520</v>
      </c>
      <c r="D23" s="52">
        <f>$D$40+(($D$25-$D$40)*((C23/$C$25)^$C$13))</f>
        <v>179.20000000000005</v>
      </c>
      <c r="E23" s="101"/>
      <c r="F23" s="237" t="s">
        <v>141</v>
      </c>
      <c r="G23" s="237"/>
      <c r="H23" s="237"/>
      <c r="I23" s="237"/>
      <c r="J23" s="237"/>
      <c r="K23" s="101"/>
    </row>
    <row r="24" spans="1:14" x14ac:dyDescent="0.5">
      <c r="A24" s="13"/>
      <c r="B24" s="22" t="s">
        <v>57</v>
      </c>
      <c r="C24" s="53">
        <f>1.2*C25</f>
        <v>390</v>
      </c>
      <c r="D24" s="54">
        <f>$D$40+(($D$25-$D$40)*((C24/$C$25)^$C$13))</f>
        <v>100.8</v>
      </c>
      <c r="E24" s="102"/>
      <c r="F24" s="237" t="s">
        <v>142</v>
      </c>
      <c r="G24" s="237"/>
      <c r="H24" s="237"/>
      <c r="I24" s="237"/>
      <c r="J24" s="237"/>
      <c r="K24" s="102"/>
    </row>
    <row r="25" spans="1:14" x14ac:dyDescent="0.5">
      <c r="A25" s="13"/>
      <c r="B25" s="86" t="s">
        <v>56</v>
      </c>
      <c r="C25" s="87">
        <f>$C$10</f>
        <v>325</v>
      </c>
      <c r="D25" s="88">
        <f>$C$11</f>
        <v>70</v>
      </c>
      <c r="E25" s="103"/>
      <c r="F25" s="237" t="s">
        <v>143</v>
      </c>
      <c r="G25" s="237"/>
      <c r="H25" s="237"/>
      <c r="I25" s="237"/>
      <c r="J25" s="237"/>
      <c r="K25" s="103"/>
    </row>
    <row r="26" spans="1:14" x14ac:dyDescent="0.5">
      <c r="A26" s="13"/>
      <c r="B26" s="22" t="s">
        <v>55</v>
      </c>
      <c r="C26" s="53">
        <f>0.8*C25</f>
        <v>260</v>
      </c>
      <c r="D26" s="54">
        <f t="shared" ref="D26:D39" si="0">$D$40+(($D$25-$D$40)*((C26/$C$25)^$C$13))</f>
        <v>44.800000000000011</v>
      </c>
      <c r="E26" s="104"/>
      <c r="F26" s="237" t="s">
        <v>144</v>
      </c>
      <c r="G26" s="237"/>
      <c r="H26" s="237"/>
      <c r="I26" s="237"/>
      <c r="J26" s="237"/>
      <c r="K26" s="104"/>
    </row>
    <row r="27" spans="1:14" x14ac:dyDescent="0.5">
      <c r="A27" s="13"/>
      <c r="B27" s="21" t="s">
        <v>54</v>
      </c>
      <c r="C27" s="23">
        <f>0.6*C25</f>
        <v>195</v>
      </c>
      <c r="D27" s="52">
        <f t="shared" si="0"/>
        <v>25.2</v>
      </c>
      <c r="E27" s="105"/>
      <c r="F27" s="237" t="s">
        <v>146</v>
      </c>
      <c r="G27" s="237"/>
      <c r="H27" s="237"/>
      <c r="I27" s="237"/>
      <c r="J27" s="237"/>
      <c r="K27" s="105"/>
    </row>
    <row r="28" spans="1:14" x14ac:dyDescent="0.5">
      <c r="A28" s="13"/>
      <c r="B28" s="22" t="s">
        <v>53</v>
      </c>
      <c r="C28" s="53">
        <f>0.4*C25</f>
        <v>130</v>
      </c>
      <c r="D28" s="54">
        <f t="shared" si="0"/>
        <v>11.200000000000003</v>
      </c>
    </row>
    <row r="29" spans="1:14" x14ac:dyDescent="0.5">
      <c r="A29" s="13"/>
      <c r="B29" s="21" t="s">
        <v>67</v>
      </c>
      <c r="C29" s="23">
        <f>0.3*C25</f>
        <v>97.5</v>
      </c>
      <c r="D29" s="52">
        <f t="shared" si="0"/>
        <v>6.3</v>
      </c>
    </row>
    <row r="30" spans="1:14" x14ac:dyDescent="0.5">
      <c r="A30" s="13"/>
      <c r="B30" s="22" t="s">
        <v>52</v>
      </c>
      <c r="C30" s="53">
        <f>0.2*C25</f>
        <v>65</v>
      </c>
      <c r="D30" s="54">
        <f t="shared" si="0"/>
        <v>2.8000000000000007</v>
      </c>
    </row>
    <row r="31" spans="1:14" x14ac:dyDescent="0.5">
      <c r="A31" s="13"/>
      <c r="B31" s="21" t="s">
        <v>68</v>
      </c>
      <c r="C31" s="23">
        <f>0.18*C25</f>
        <v>58.5</v>
      </c>
      <c r="D31" s="52">
        <f t="shared" si="0"/>
        <v>2.2679999999999998</v>
      </c>
    </row>
    <row r="32" spans="1:14" x14ac:dyDescent="0.5">
      <c r="A32" s="13"/>
      <c r="B32" s="22" t="s">
        <v>69</v>
      </c>
      <c r="C32" s="53">
        <f>0.16*C25</f>
        <v>52</v>
      </c>
      <c r="D32" s="54">
        <f t="shared" si="0"/>
        <v>1.792</v>
      </c>
    </row>
    <row r="33" spans="1:5" x14ac:dyDescent="0.5">
      <c r="A33" s="13"/>
      <c r="B33" s="21" t="s">
        <v>70</v>
      </c>
      <c r="C33" s="23">
        <f>0.14*C25</f>
        <v>45.500000000000007</v>
      </c>
      <c r="D33" s="52">
        <f t="shared" si="0"/>
        <v>1.3720000000000001</v>
      </c>
    </row>
    <row r="34" spans="1:5" x14ac:dyDescent="0.5">
      <c r="A34" s="13"/>
      <c r="B34" s="22" t="s">
        <v>71</v>
      </c>
      <c r="C34" s="53">
        <f>0.12*C25</f>
        <v>39</v>
      </c>
      <c r="D34" s="54">
        <f t="shared" si="0"/>
        <v>1.008</v>
      </c>
    </row>
    <row r="35" spans="1:5" x14ac:dyDescent="0.5">
      <c r="A35" s="13"/>
      <c r="B35" s="21" t="s">
        <v>51</v>
      </c>
      <c r="C35" s="23">
        <f>0.1*C25</f>
        <v>32.5</v>
      </c>
      <c r="D35" s="52">
        <f t="shared" si="0"/>
        <v>0.70000000000000018</v>
      </c>
    </row>
    <row r="36" spans="1:5" x14ac:dyDescent="0.5">
      <c r="A36" s="13"/>
      <c r="B36" s="22" t="s">
        <v>72</v>
      </c>
      <c r="C36" s="53">
        <f>0.08*C25</f>
        <v>26</v>
      </c>
      <c r="D36" s="54">
        <f t="shared" si="0"/>
        <v>0.44800000000000001</v>
      </c>
    </row>
    <row r="37" spans="1:5" x14ac:dyDescent="0.5">
      <c r="A37" s="13"/>
      <c r="B37" s="21" t="s">
        <v>73</v>
      </c>
      <c r="C37" s="23">
        <f>0.06*C25</f>
        <v>19.5</v>
      </c>
      <c r="D37" s="52">
        <f t="shared" si="0"/>
        <v>0.252</v>
      </c>
    </row>
    <row r="38" spans="1:5" x14ac:dyDescent="0.5">
      <c r="A38" s="13"/>
      <c r="B38" s="22" t="s">
        <v>74</v>
      </c>
      <c r="C38" s="53">
        <f>0.04*C27</f>
        <v>7.8</v>
      </c>
      <c r="D38" s="54">
        <f t="shared" si="0"/>
        <v>4.0320000000000002E-2</v>
      </c>
    </row>
    <row r="39" spans="1:5" x14ac:dyDescent="0.5">
      <c r="A39" s="13"/>
      <c r="B39" s="21" t="s">
        <v>75</v>
      </c>
      <c r="C39" s="23">
        <f>0.02*C27</f>
        <v>3.9</v>
      </c>
      <c r="D39" s="52">
        <f t="shared" si="0"/>
        <v>1.008E-2</v>
      </c>
    </row>
    <row r="40" spans="1:5" x14ac:dyDescent="0.5">
      <c r="A40" s="13"/>
      <c r="B40" s="22" t="s">
        <v>50</v>
      </c>
      <c r="C40" s="53">
        <v>0</v>
      </c>
      <c r="D40" s="56">
        <f>$C$12</f>
        <v>0</v>
      </c>
      <c r="E40" s="20"/>
    </row>
    <row r="41" spans="1:5" x14ac:dyDescent="0.5">
      <c r="B41" s="51"/>
      <c r="C41" s="20"/>
      <c r="D41" s="20"/>
    </row>
    <row r="42" spans="1:5" x14ac:dyDescent="0.5">
      <c r="A42" s="13"/>
      <c r="B42" s="71" t="s">
        <v>99</v>
      </c>
      <c r="C42" s="72"/>
      <c r="D42" s="73"/>
    </row>
    <row r="43" spans="1:5" x14ac:dyDescent="0.5">
      <c r="A43" s="13"/>
      <c r="B43" s="22" t="s">
        <v>65</v>
      </c>
      <c r="C43" s="55">
        <v>2500</v>
      </c>
      <c r="D43" s="54">
        <f>D25</f>
        <v>70</v>
      </c>
      <c r="E43" s="10" t="s">
        <v>117</v>
      </c>
    </row>
    <row r="44" spans="1:5" x14ac:dyDescent="0.5">
      <c r="A44" s="13"/>
      <c r="B44" s="21"/>
      <c r="C44" s="55">
        <v>0</v>
      </c>
      <c r="D44" s="52">
        <f>D43</f>
        <v>70</v>
      </c>
    </row>
    <row r="45" spans="1:5" x14ac:dyDescent="0.5">
      <c r="A45" s="13"/>
      <c r="B45" s="22" t="s">
        <v>66</v>
      </c>
      <c r="C45" s="53">
        <f>C25</f>
        <v>325</v>
      </c>
      <c r="D45" s="85">
        <v>90</v>
      </c>
      <c r="E45" s="10" t="s">
        <v>118</v>
      </c>
    </row>
    <row r="46" spans="1:5" x14ac:dyDescent="0.5">
      <c r="A46" s="13"/>
      <c r="B46" s="21"/>
      <c r="C46" s="23">
        <f>C45</f>
        <v>325</v>
      </c>
      <c r="D46" s="85">
        <f>D40</f>
        <v>0</v>
      </c>
    </row>
    <row r="47" spans="1:5" x14ac:dyDescent="0.5">
      <c r="A47" s="13"/>
    </row>
    <row r="48" spans="1:5" x14ac:dyDescent="0.5">
      <c r="A48" s="13"/>
      <c r="B48" s="71" t="s">
        <v>101</v>
      </c>
      <c r="C48" s="72"/>
      <c r="D48" s="73"/>
    </row>
    <row r="49" spans="1:5" x14ac:dyDescent="0.5">
      <c r="A49" s="13"/>
      <c r="B49" s="22" t="s">
        <v>65</v>
      </c>
      <c r="C49" s="74">
        <f>C43</f>
        <v>2500</v>
      </c>
      <c r="D49" s="84">
        <v>79.599999999999994</v>
      </c>
      <c r="E49" s="10" t="s">
        <v>120</v>
      </c>
    </row>
    <row r="50" spans="1:5" x14ac:dyDescent="0.5">
      <c r="A50" s="13"/>
      <c r="B50" s="21"/>
      <c r="C50" s="23">
        <v>0</v>
      </c>
      <c r="D50" s="52">
        <f>D49</f>
        <v>79.599999999999994</v>
      </c>
    </row>
    <row r="51" spans="1:5" x14ac:dyDescent="0.5">
      <c r="A51" s="13"/>
      <c r="B51" s="22" t="s">
        <v>66</v>
      </c>
      <c r="C51" s="77">
        <v>350</v>
      </c>
      <c r="D51" s="75">
        <f>D45</f>
        <v>90</v>
      </c>
      <c r="E51" s="10" t="s">
        <v>119</v>
      </c>
    </row>
    <row r="52" spans="1:5" x14ac:dyDescent="0.5">
      <c r="A52" s="13"/>
      <c r="B52" s="21"/>
      <c r="C52" s="23">
        <f>C51</f>
        <v>350</v>
      </c>
      <c r="D52" s="76">
        <f>D46</f>
        <v>0</v>
      </c>
    </row>
    <row r="53" spans="1:5" x14ac:dyDescent="0.5">
      <c r="A53" s="13"/>
      <c r="B53" s="17"/>
    </row>
    <row r="54" spans="1:5" x14ac:dyDescent="0.5">
      <c r="A54" s="13"/>
      <c r="B54" s="17"/>
    </row>
    <row r="55" spans="1:5" x14ac:dyDescent="0.5">
      <c r="A55" s="13"/>
      <c r="B55" s="17"/>
    </row>
    <row r="56" spans="1:5" x14ac:dyDescent="0.5">
      <c r="A56" s="13"/>
      <c r="B56" s="17"/>
      <c r="C56" s="16"/>
    </row>
    <row r="57" spans="1:5" x14ac:dyDescent="0.5">
      <c r="A57" s="13"/>
      <c r="B57" s="17"/>
      <c r="C57" s="16"/>
    </row>
    <row r="58" spans="1:5" x14ac:dyDescent="0.5">
      <c r="A58" s="13"/>
      <c r="B58" s="17"/>
      <c r="C58" s="16"/>
    </row>
    <row r="59" spans="1:5" x14ac:dyDescent="0.5">
      <c r="A59" s="13"/>
      <c r="B59" s="17"/>
      <c r="C59" s="16"/>
    </row>
    <row r="60" spans="1:5" x14ac:dyDescent="0.5">
      <c r="A60" s="13"/>
      <c r="B60" s="17"/>
      <c r="C60" s="16"/>
    </row>
    <row r="61" spans="1:5" x14ac:dyDescent="0.5">
      <c r="A61" s="13"/>
      <c r="B61" s="17"/>
      <c r="C61" s="16"/>
    </row>
    <row r="62" spans="1:5" x14ac:dyDescent="0.5">
      <c r="A62" s="19"/>
      <c r="B62" s="17"/>
      <c r="C62" s="16"/>
    </row>
    <row r="63" spans="1:5" x14ac:dyDescent="0.5">
      <c r="A63" s="13"/>
      <c r="B63" s="17"/>
      <c r="C63" s="16"/>
    </row>
    <row r="64" spans="1:5" x14ac:dyDescent="0.5">
      <c r="A64" s="18"/>
      <c r="B64" s="17"/>
      <c r="C64" s="16"/>
    </row>
    <row r="65" spans="1:3" x14ac:dyDescent="0.5">
      <c r="B65" s="17"/>
      <c r="C65" s="16"/>
    </row>
    <row r="66" spans="1:3" x14ac:dyDescent="0.5">
      <c r="B66" s="17"/>
      <c r="C66" s="16"/>
    </row>
    <row r="67" spans="1:3" x14ac:dyDescent="0.5">
      <c r="A67" s="13"/>
      <c r="B67" s="14"/>
      <c r="C67" s="12"/>
    </row>
    <row r="68" spans="1:3" x14ac:dyDescent="0.5">
      <c r="A68" s="13"/>
      <c r="B68" s="14"/>
      <c r="C68" s="12"/>
    </row>
    <row r="69" spans="1:3" x14ac:dyDescent="0.5">
      <c r="A69" s="13"/>
      <c r="B69" s="14"/>
      <c r="C69" s="12"/>
    </row>
    <row r="70" spans="1:3" x14ac:dyDescent="0.5">
      <c r="A70" s="13"/>
      <c r="B70" s="15"/>
      <c r="C70" s="12"/>
    </row>
    <row r="71" spans="1:3" x14ac:dyDescent="0.5">
      <c r="A71" s="13"/>
      <c r="B71" s="14"/>
      <c r="C71" s="12"/>
    </row>
    <row r="72" spans="1:3" x14ac:dyDescent="0.5">
      <c r="A72" s="13"/>
      <c r="C72" s="12"/>
    </row>
    <row r="73" spans="1:3" x14ac:dyDescent="0.5">
      <c r="A73" s="13"/>
      <c r="C73" s="12"/>
    </row>
  </sheetData>
  <mergeCells count="8">
    <mergeCell ref="F26:J26"/>
    <mergeCell ref="F27:J27"/>
    <mergeCell ref="B21:D21"/>
    <mergeCell ref="F21:J21"/>
    <mergeCell ref="F22:J22"/>
    <mergeCell ref="F23:J23"/>
    <mergeCell ref="F24:J24"/>
    <mergeCell ref="F25:J25"/>
  </mergeCells>
  <hyperlinks>
    <hyperlink ref="F27:J27" location="Summary!A1" display="Click here to go to the summary tab"/>
    <hyperlink ref="F26:J26" location="'12.5 Pct'!A1" display="Click here to go to the 12.5% load condition tabs"/>
    <hyperlink ref="F25:J25" location="'25 Pct '!A1" display="Click here to go to the 25% load condition tabs"/>
    <hyperlink ref="F24:J24" location="'50 Pct'!A1" display="Click here to go to the 50% load condition tabs"/>
    <hyperlink ref="F23:J23" location="'75 Pct'!A1" display="Click here to go to the 75% load condition tabs"/>
    <hyperlink ref="F22:J22" location="'Design Point System Curve'!A1" display="Click here to go to the design condition tabs"/>
    <hyperlink ref="F21:J21" location="'1510 6G 1150rpm'!A1" display="Click here to go to the data used to plot the digital pump curve set"/>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63489" r:id="rId4">
          <objectPr defaultSize="0" autoPict="0" r:id="rId5">
            <anchor moveWithCells="1">
              <from>
                <xdr:col>7</xdr:col>
                <xdr:colOff>0</xdr:colOff>
                <xdr:row>0</xdr:row>
                <xdr:rowOff>0</xdr:rowOff>
              </from>
              <to>
                <xdr:col>11</xdr:col>
                <xdr:colOff>313267</xdr:colOff>
                <xdr:row>2</xdr:row>
                <xdr:rowOff>211667</xdr:rowOff>
              </to>
            </anchor>
          </objectPr>
        </oleObject>
      </mc:Choice>
      <mc:Fallback>
        <oleObject progId="Equation.DSMT4" shapeId="63489" r:id="rId4"/>
      </mc:Fallback>
    </mc:AlternateContent>
    <mc:AlternateContent xmlns:mc="http://schemas.openxmlformats.org/markup-compatibility/2006">
      <mc:Choice Requires="x14">
        <oleObject progId="Equation.DSMT4" shapeId="63490" r:id="rId6">
          <objectPr defaultSize="0" autoPict="0" r:id="rId7">
            <anchor moveWithCells="1">
              <from>
                <xdr:col>12</xdr:col>
                <xdr:colOff>0</xdr:colOff>
                <xdr:row>0</xdr:row>
                <xdr:rowOff>21167</xdr:rowOff>
              </from>
              <to>
                <xdr:col>16</xdr:col>
                <xdr:colOff>1354667</xdr:colOff>
                <xdr:row>5</xdr:row>
                <xdr:rowOff>105833</xdr:rowOff>
              </to>
            </anchor>
          </objectPr>
        </oleObject>
      </mc:Choice>
      <mc:Fallback>
        <oleObject progId="Equation.DSMT4" shapeId="63490" r:id="rId6"/>
      </mc:Fallback>
    </mc:AlternateContent>
    <mc:AlternateContent xmlns:mc="http://schemas.openxmlformats.org/markup-compatibility/2006">
      <mc:Choice Requires="x14">
        <oleObject progId="Equation.DSMT4" shapeId="63491" r:id="rId8">
          <objectPr defaultSize="0" autoPict="0" r:id="rId9">
            <anchor moveWithCells="1">
              <from>
                <xdr:col>7</xdr:col>
                <xdr:colOff>0</xdr:colOff>
                <xdr:row>3</xdr:row>
                <xdr:rowOff>0</xdr:rowOff>
              </from>
              <to>
                <xdr:col>11</xdr:col>
                <xdr:colOff>313267</xdr:colOff>
                <xdr:row>10</xdr:row>
                <xdr:rowOff>211667</xdr:rowOff>
              </to>
            </anchor>
          </objectPr>
        </oleObject>
      </mc:Choice>
      <mc:Fallback>
        <oleObject progId="Equation.DSMT4" shapeId="63491"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G98"/>
  <sheetViews>
    <sheetView topLeftCell="A13" workbookViewId="0">
      <selection activeCell="C18" sqref="C18"/>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102</v>
      </c>
      <c r="B1" s="59"/>
      <c r="C1" s="59"/>
      <c r="D1" s="59"/>
      <c r="E1" s="59"/>
      <c r="F1" s="60"/>
      <c r="G1" s="60"/>
    </row>
    <row r="2" spans="1:7" x14ac:dyDescent="0.5">
      <c r="A2" s="61" t="s">
        <v>86</v>
      </c>
    </row>
    <row r="17" spans="1:7" x14ac:dyDescent="0.5">
      <c r="A17" s="63" t="s">
        <v>87</v>
      </c>
      <c r="B17" s="91">
        <f>'25 Pct '!C10</f>
        <v>325</v>
      </c>
      <c r="C17" s="90" t="s">
        <v>126</v>
      </c>
    </row>
    <row r="18" spans="1:7" x14ac:dyDescent="0.5">
      <c r="A18" s="63" t="s">
        <v>88</v>
      </c>
      <c r="B18" s="63">
        <f>'25 Pct '!C51</f>
        <v>350</v>
      </c>
      <c r="C18" s="236" t="s">
        <v>203</v>
      </c>
    </row>
    <row r="19" spans="1:7" x14ac:dyDescent="0.5">
      <c r="A19" s="63" t="s">
        <v>103</v>
      </c>
      <c r="B19" s="89">
        <v>1150</v>
      </c>
      <c r="C19" s="90" t="s">
        <v>122</v>
      </c>
    </row>
    <row r="20" spans="1:7" x14ac:dyDescent="0.5">
      <c r="A20" s="63" t="s">
        <v>110</v>
      </c>
      <c r="B20" s="89">
        <v>-13</v>
      </c>
      <c r="C20" s="90" t="s">
        <v>121</v>
      </c>
    </row>
    <row r="21" spans="1:7" x14ac:dyDescent="0.5">
      <c r="A21" s="63" t="s">
        <v>104</v>
      </c>
      <c r="B21" s="63">
        <f>((B17/B18)*B19)+B20</f>
        <v>1054.8571428571429</v>
      </c>
      <c r="C21" s="65" t="s">
        <v>109</v>
      </c>
    </row>
    <row r="22" spans="1:7" x14ac:dyDescent="0.5">
      <c r="A22" s="93" t="s">
        <v>136</v>
      </c>
      <c r="B22" s="65" t="str">
        <f>TEXT('Design Impeller from Largest'!B15,"##.000")&amp;" inch impeller at "&amp;TEXT('25 Pct Speed Estimate Tweak'!B21,"#,###")&amp;" rpm from the affinity law, adjusted to go through the operating point"</f>
        <v>13.195 inch impeller at 1,055 rpm from the affinity law, adjusted to go through the operating point</v>
      </c>
      <c r="C22" s="65"/>
    </row>
    <row r="23" spans="1:7" x14ac:dyDescent="0.5">
      <c r="A23" s="58" t="s">
        <v>105</v>
      </c>
      <c r="B23" s="59"/>
      <c r="C23" s="59"/>
      <c r="D23" s="59"/>
      <c r="E23" s="59"/>
      <c r="F23" s="60"/>
      <c r="G23" s="60"/>
    </row>
    <row r="24" spans="1:7" x14ac:dyDescent="0.5">
      <c r="A24" s="61" t="s">
        <v>79</v>
      </c>
    </row>
    <row r="34" spans="1:7" x14ac:dyDescent="0.5">
      <c r="A34" s="63" t="s">
        <v>103</v>
      </c>
      <c r="B34" s="63">
        <f>B19</f>
        <v>1150</v>
      </c>
      <c r="C34" s="65" t="s">
        <v>107</v>
      </c>
    </row>
    <row r="35" spans="1:7" x14ac:dyDescent="0.5">
      <c r="A35" s="63" t="s">
        <v>104</v>
      </c>
      <c r="B35" s="63">
        <f>B21</f>
        <v>1054.8571428571429</v>
      </c>
      <c r="C35" s="65" t="s">
        <v>108</v>
      </c>
    </row>
    <row r="36" spans="1:7" x14ac:dyDescent="0.5">
      <c r="A36" s="63"/>
      <c r="B36" s="66"/>
    </row>
    <row r="37" spans="1:7" ht="66.7" x14ac:dyDescent="0.5">
      <c r="B37" s="67" t="str">
        <f>TEXT(B34,"#,###")&amp;" rpm Impeller Flow, gpm (Known value from previous calculation)"</f>
        <v>1,150 rpm Impeller Flow, gpm (Known value from previous calculation)</v>
      </c>
      <c r="C37" s="67" t="str">
        <f>TEXT(B35,"#,###")&amp;" rpm Impeller Flow, gpm (Calculated with the affinity law)"</f>
        <v>1,055 rpm Impeller Flow, gpm (Calculated with the affinity law)</v>
      </c>
    </row>
    <row r="38" spans="1:7" x14ac:dyDescent="0.5">
      <c r="B38" s="70">
        <v>1.0000000000000001E-9</v>
      </c>
      <c r="C38" s="62">
        <f>B38*($B$35/$B$34)</f>
        <v>9.1726708074534174E-10</v>
      </c>
      <c r="D38" s="61" t="s">
        <v>83</v>
      </c>
    </row>
    <row r="39" spans="1:7" s="62" customFormat="1" x14ac:dyDescent="0.5">
      <c r="A39" s="61"/>
      <c r="B39" s="62">
        <f>'Impeller 6G 1150'!O10</f>
        <v>101.038</v>
      </c>
      <c r="C39" s="62">
        <f t="shared" ref="C39:C61" si="0">B39*($B$35/$B$34)</f>
        <v>92.678831304347824</v>
      </c>
      <c r="F39" s="61"/>
      <c r="G39" s="61"/>
    </row>
    <row r="40" spans="1:7" s="62" customFormat="1" x14ac:dyDescent="0.5">
      <c r="A40" s="61"/>
      <c r="B40" s="62">
        <f>'Impeller 6G 1150'!O11</f>
        <v>202.07599999999999</v>
      </c>
      <c r="C40" s="62">
        <f t="shared" si="0"/>
        <v>185.35766260869565</v>
      </c>
      <c r="F40" s="61"/>
      <c r="G40" s="61"/>
    </row>
    <row r="41" spans="1:7" s="62" customFormat="1" x14ac:dyDescent="0.5">
      <c r="A41" s="61"/>
      <c r="B41" s="62">
        <f>'Impeller 6G 1150'!O12</f>
        <v>301.73</v>
      </c>
      <c r="C41" s="62">
        <f t="shared" si="0"/>
        <v>276.76699627329197</v>
      </c>
      <c r="F41" s="61"/>
      <c r="G41" s="61"/>
    </row>
    <row r="42" spans="1:7" s="62" customFormat="1" x14ac:dyDescent="0.5">
      <c r="A42" s="61"/>
      <c r="B42" s="62">
        <f>'Impeller 6G 1150'!O13</f>
        <v>401.38400000000001</v>
      </c>
      <c r="C42" s="62">
        <f t="shared" si="0"/>
        <v>368.17632993788823</v>
      </c>
      <c r="F42" s="61"/>
      <c r="G42" s="61"/>
    </row>
    <row r="43" spans="1:7" s="62" customFormat="1" x14ac:dyDescent="0.5">
      <c r="A43" s="61"/>
      <c r="B43" s="62">
        <f>'Impeller 6G 1150'!O14</f>
        <v>502.42200000000003</v>
      </c>
      <c r="C43" s="62">
        <f t="shared" si="0"/>
        <v>460.85516124223608</v>
      </c>
      <c r="F43" s="61"/>
      <c r="G43" s="61"/>
    </row>
    <row r="44" spans="1:7" s="62" customFormat="1" x14ac:dyDescent="0.5">
      <c r="A44" s="61"/>
      <c r="B44" s="62">
        <f>'Impeller 6G 1150'!O15</f>
        <v>602.07600000000002</v>
      </c>
      <c r="C44" s="62">
        <f t="shared" si="0"/>
        <v>552.2644949068324</v>
      </c>
      <c r="F44" s="61"/>
      <c r="G44" s="61"/>
    </row>
    <row r="45" spans="1:7" s="62" customFormat="1" x14ac:dyDescent="0.5">
      <c r="A45" s="61"/>
      <c r="B45" s="62">
        <f>'Impeller 6G 1150'!O16</f>
        <v>703.11400000000003</v>
      </c>
      <c r="C45" s="62">
        <f t="shared" si="0"/>
        <v>644.94332621118019</v>
      </c>
      <c r="F45" s="61"/>
      <c r="G45" s="61"/>
    </row>
    <row r="46" spans="1:7" s="62" customFormat="1" x14ac:dyDescent="0.5">
      <c r="A46" s="61"/>
      <c r="B46" s="62">
        <f>'Impeller 6G 1150'!O17</f>
        <v>801.38400000000001</v>
      </c>
      <c r="C46" s="62">
        <f t="shared" si="0"/>
        <v>735.08316223602492</v>
      </c>
      <c r="F46" s="61"/>
      <c r="G46" s="61"/>
    </row>
    <row r="47" spans="1:7" s="62" customFormat="1" x14ac:dyDescent="0.5">
      <c r="A47" s="61"/>
      <c r="B47" s="62">
        <f>'Impeller 6G 1150'!O18</f>
        <v>903.80600000000004</v>
      </c>
      <c r="C47" s="62">
        <f t="shared" si="0"/>
        <v>829.03149118012436</v>
      </c>
      <c r="F47" s="61"/>
      <c r="G47" s="61"/>
    </row>
    <row r="48" spans="1:7" s="62" customFormat="1" x14ac:dyDescent="0.5">
      <c r="A48" s="61"/>
      <c r="B48" s="62">
        <f>'Impeller 6G 1150'!O19</f>
        <v>999.30799999999999</v>
      </c>
      <c r="C48" s="62">
        <f t="shared" si="0"/>
        <v>916.63233192546591</v>
      </c>
      <c r="F48" s="61"/>
      <c r="G48" s="61"/>
    </row>
    <row r="49" spans="1:7" s="62" customFormat="1" x14ac:dyDescent="0.5">
      <c r="A49" s="61"/>
      <c r="B49" s="62">
        <f>'Impeller 6G 1150'!O20</f>
        <v>1101.73</v>
      </c>
      <c r="C49" s="62">
        <f t="shared" si="0"/>
        <v>1010.5806608695653</v>
      </c>
      <c r="F49" s="61"/>
      <c r="G49" s="61"/>
    </row>
    <row r="50" spans="1:7" s="62" customFormat="1" x14ac:dyDescent="0.5">
      <c r="A50" s="61"/>
      <c r="B50" s="62">
        <f>'Impeller 6G 1150'!O21</f>
        <v>1201.3800000000001</v>
      </c>
      <c r="C50" s="62">
        <f t="shared" si="0"/>
        <v>1101.9863254658387</v>
      </c>
      <c r="F50" s="61"/>
      <c r="G50" s="61"/>
    </row>
    <row r="51" spans="1:7" s="62" customFormat="1" x14ac:dyDescent="0.5">
      <c r="A51" s="61"/>
      <c r="B51" s="62">
        <f>'Impeller 6G 1150'!O22</f>
        <v>1302.42</v>
      </c>
      <c r="C51" s="62">
        <f t="shared" si="0"/>
        <v>1194.6669913043479</v>
      </c>
      <c r="F51" s="61"/>
      <c r="G51" s="61"/>
    </row>
    <row r="52" spans="1:7" s="62" customFormat="1" x14ac:dyDescent="0.5">
      <c r="A52" s="61"/>
      <c r="B52" s="62">
        <f>'Impeller 6G 1150'!O23</f>
        <v>1402.08</v>
      </c>
      <c r="C52" s="62">
        <f t="shared" si="0"/>
        <v>1286.0818285714286</v>
      </c>
      <c r="F52" s="61"/>
      <c r="G52" s="61"/>
    </row>
    <row r="53" spans="1:7" s="62" customFormat="1" x14ac:dyDescent="0.5">
      <c r="A53" s="61"/>
      <c r="B53" s="62">
        <f>'Impeller 6G 1150'!O24</f>
        <v>1501.73</v>
      </c>
      <c r="C53" s="62">
        <f t="shared" si="0"/>
        <v>1377.487493167702</v>
      </c>
      <c r="F53" s="61"/>
      <c r="G53" s="61"/>
    </row>
    <row r="54" spans="1:7" s="62" customFormat="1" x14ac:dyDescent="0.5">
      <c r="A54" s="61"/>
      <c r="B54" s="62">
        <f>'Impeller 6G 1150'!O25</f>
        <v>1600</v>
      </c>
      <c r="C54" s="62">
        <f t="shared" si="0"/>
        <v>1467.6273291925468</v>
      </c>
      <c r="F54" s="61"/>
      <c r="G54" s="61"/>
    </row>
    <row r="55" spans="1:7" x14ac:dyDescent="0.5">
      <c r="B55" s="62">
        <f>'Impeller 6G 1150'!O26</f>
        <v>1647.06</v>
      </c>
      <c r="C55" s="62">
        <f t="shared" si="0"/>
        <v>1510.7939180124224</v>
      </c>
    </row>
    <row r="56" spans="1:7" x14ac:dyDescent="0.5">
      <c r="B56" s="62">
        <f>'Impeller 6G 1150'!O27</f>
        <v>1699.65</v>
      </c>
      <c r="C56" s="62">
        <f t="shared" si="0"/>
        <v>1559.03299378882</v>
      </c>
    </row>
    <row r="57" spans="1:7" x14ac:dyDescent="0.5">
      <c r="B57" s="62">
        <f>'Impeller 6G 1150'!O28</f>
        <v>1791</v>
      </c>
      <c r="C57" s="62">
        <f t="shared" si="0"/>
        <v>1642.8253416149071</v>
      </c>
    </row>
    <row r="58" spans="1:7" x14ac:dyDescent="0.5">
      <c r="B58" s="62">
        <f>'Impeller 6G 1150'!O29</f>
        <v>1847.75</v>
      </c>
      <c r="C58" s="62">
        <f t="shared" si="0"/>
        <v>1694.8802484472051</v>
      </c>
    </row>
    <row r="59" spans="1:7" x14ac:dyDescent="0.5">
      <c r="B59" s="62">
        <f>'Impeller 6G 1150'!O30</f>
        <v>1903.11</v>
      </c>
      <c r="C59" s="62">
        <f t="shared" si="0"/>
        <v>1745.6601540372671</v>
      </c>
    </row>
    <row r="60" spans="1:7" x14ac:dyDescent="0.5">
      <c r="B60" s="62">
        <f>'Impeller 6G 1150'!O31</f>
        <v>1948.79</v>
      </c>
      <c r="C60" s="62">
        <f t="shared" si="0"/>
        <v>1787.5609142857145</v>
      </c>
    </row>
    <row r="61" spans="1:7" x14ac:dyDescent="0.5">
      <c r="B61" s="62">
        <f>'Impeller 6G 1150'!O32</f>
        <v>2013.84</v>
      </c>
      <c r="C61" s="62">
        <f t="shared" si="0"/>
        <v>1847.2291378881989</v>
      </c>
    </row>
    <row r="62" spans="1:7" x14ac:dyDescent="0.5">
      <c r="A62" s="58" t="s">
        <v>95</v>
      </c>
      <c r="B62" s="59"/>
      <c r="C62" s="59"/>
      <c r="D62" s="59"/>
      <c r="E62" s="59"/>
      <c r="F62" s="60"/>
      <c r="G62" s="60"/>
    </row>
    <row r="63" spans="1:7" x14ac:dyDescent="0.5">
      <c r="A63" s="61" t="s">
        <v>84</v>
      </c>
    </row>
    <row r="73" spans="2:5" s="69" customFormat="1" ht="66.7" x14ac:dyDescent="0.5">
      <c r="B73" s="67" t="str">
        <f>TEXT(B34,"#,###")&amp;" rpm Impeller Flow, gpm (Known value from previous calculation)"</f>
        <v>1,150 rpm Impeller Flow, gpm (Known value from previous calculation)</v>
      </c>
      <c r="C73" s="68" t="str">
        <f>TEXT(B35,"#,##")&amp;" rpm Impeller Flow, gpm (Calculated above)"</f>
        <v>1,055 rpm Impeller Flow, gpm (Calculated above)</v>
      </c>
      <c r="D73" s="67" t="str">
        <f>TEXT(B34,"#,##")&amp;" rpm Impeller Head, ft.w.c. (Known value from previous calculation)"</f>
        <v>1,150 rpm Impeller Head, ft.w.c. (Known value from previous calculation)</v>
      </c>
      <c r="E73" s="68" t="str">
        <f>TEXT(B35,"#,###")&amp;" rpm Impeller Head, ft.w.c. (From square law)"</f>
        <v>1,055 rpm Impeller Head, ft.w.c. (From square law)</v>
      </c>
    </row>
    <row r="74" spans="2:5" x14ac:dyDescent="0.5">
      <c r="B74" s="62">
        <f>B38</f>
        <v>1.0000000000000001E-9</v>
      </c>
      <c r="C74" s="70">
        <f>C38</f>
        <v>9.1726708074534174E-10</v>
      </c>
      <c r="D74" s="62">
        <f>'Impeller 6G 1150'!P9</f>
        <v>83.528300000000002</v>
      </c>
      <c r="E74" s="70">
        <f>D74*((C74/B74)^2)</f>
        <v>70.27894895729024</v>
      </c>
    </row>
    <row r="75" spans="2:5" x14ac:dyDescent="0.5">
      <c r="B75" s="62">
        <f>B39</f>
        <v>101.038</v>
      </c>
      <c r="C75" s="70">
        <f>C39</f>
        <v>92.678831304347824</v>
      </c>
      <c r="D75" s="62">
        <f>'Impeller 6G 1150'!P10</f>
        <v>83.625699999999995</v>
      </c>
      <c r="E75" s="70">
        <f>D75*((C75/B75)^2)</f>
        <v>70.360899261898837</v>
      </c>
    </row>
    <row r="76" spans="2:5" x14ac:dyDescent="0.5">
      <c r="B76" s="62">
        <f t="shared" ref="B76:C91" si="1">B40</f>
        <v>202.07599999999999</v>
      </c>
      <c r="C76" s="70">
        <f t="shared" si="1"/>
        <v>185.35766260869565</v>
      </c>
      <c r="D76" s="62">
        <f>'Impeller 6G 1150'!P11</f>
        <v>83.528300000000002</v>
      </c>
      <c r="E76" s="70">
        <f t="shared" ref="E76:E97" si="2">D76*((C76/B76)^2)</f>
        <v>70.278948957290226</v>
      </c>
    </row>
    <row r="77" spans="2:5" x14ac:dyDescent="0.5">
      <c r="B77" s="62">
        <f t="shared" si="1"/>
        <v>301.73</v>
      </c>
      <c r="C77" s="70">
        <f t="shared" si="1"/>
        <v>276.76699627329197</v>
      </c>
      <c r="D77" s="62">
        <f>'Impeller 6G 1150'!P12</f>
        <v>83.430800000000005</v>
      </c>
      <c r="E77" s="70">
        <f t="shared" si="2"/>
        <v>70.196914514791885</v>
      </c>
    </row>
    <row r="78" spans="2:5" x14ac:dyDescent="0.5">
      <c r="B78" s="62">
        <f t="shared" si="1"/>
        <v>401.38400000000001</v>
      </c>
      <c r="C78" s="70">
        <f t="shared" si="1"/>
        <v>368.17632993788823</v>
      </c>
      <c r="D78" s="62">
        <f>'Impeller 6G 1150'!P13</f>
        <v>83.235900000000001</v>
      </c>
      <c r="E78" s="70">
        <f t="shared" si="2"/>
        <v>70.032929767684905</v>
      </c>
    </row>
    <row r="79" spans="2:5" x14ac:dyDescent="0.5">
      <c r="B79" s="62">
        <f t="shared" si="1"/>
        <v>502.42200000000003</v>
      </c>
      <c r="C79" s="70">
        <f t="shared" si="1"/>
        <v>460.85516124223608</v>
      </c>
      <c r="D79" s="62">
        <f>'Impeller 6G 1150'!P14</f>
        <v>82.846000000000004</v>
      </c>
      <c r="E79" s="70">
        <f t="shared" si="2"/>
        <v>69.704876135581202</v>
      </c>
    </row>
    <row r="80" spans="2:5" x14ac:dyDescent="0.5">
      <c r="B80" s="62">
        <f t="shared" si="1"/>
        <v>602.07600000000002</v>
      </c>
      <c r="C80" s="70">
        <f t="shared" si="1"/>
        <v>552.2644949068324</v>
      </c>
      <c r="D80" s="62">
        <f>'Impeller 6G 1150'!P15</f>
        <v>82.456100000000006</v>
      </c>
      <c r="E80" s="70">
        <f t="shared" si="2"/>
        <v>69.376822503477513</v>
      </c>
    </row>
    <row r="81" spans="2:5" x14ac:dyDescent="0.5">
      <c r="B81" s="62">
        <f t="shared" si="1"/>
        <v>703.11400000000003</v>
      </c>
      <c r="C81" s="70">
        <f t="shared" si="1"/>
        <v>644.94332621118019</v>
      </c>
      <c r="D81" s="62">
        <f>'Impeller 6G 1150'!P16</f>
        <v>82.066299999999998</v>
      </c>
      <c r="E81" s="70">
        <f t="shared" si="2"/>
        <v>69.048853009263539</v>
      </c>
    </row>
    <row r="82" spans="2:5" x14ac:dyDescent="0.5">
      <c r="B82" s="62">
        <f t="shared" si="1"/>
        <v>801.38400000000001</v>
      </c>
      <c r="C82" s="70">
        <f t="shared" si="1"/>
        <v>735.08316223602492</v>
      </c>
      <c r="D82" s="62">
        <f>'Impeller 6G 1150'!P17</f>
        <v>81.676400000000001</v>
      </c>
      <c r="E82" s="70">
        <f t="shared" si="2"/>
        <v>68.72079937715985</v>
      </c>
    </row>
    <row r="83" spans="2:5" x14ac:dyDescent="0.5">
      <c r="B83" s="62">
        <f t="shared" si="1"/>
        <v>903.80600000000004</v>
      </c>
      <c r="C83" s="70">
        <f t="shared" si="1"/>
        <v>829.03149118012436</v>
      </c>
      <c r="D83" s="62">
        <f>'Impeller 6G 1150'!P18</f>
        <v>80.994100000000003</v>
      </c>
      <c r="E83" s="70">
        <f t="shared" si="2"/>
        <v>68.146726555450812</v>
      </c>
    </row>
    <row r="84" spans="2:5" x14ac:dyDescent="0.5">
      <c r="B84" s="62">
        <f t="shared" si="1"/>
        <v>999.30799999999999</v>
      </c>
      <c r="C84" s="70">
        <f t="shared" si="1"/>
        <v>916.63233192546591</v>
      </c>
      <c r="D84" s="62">
        <f>'Impeller 6G 1150'!P19</f>
        <v>80.019499999999994</v>
      </c>
      <c r="E84" s="70">
        <f t="shared" si="2"/>
        <v>67.326718682026168</v>
      </c>
    </row>
    <row r="85" spans="2:5" x14ac:dyDescent="0.5">
      <c r="B85" s="62">
        <f t="shared" si="1"/>
        <v>1101.73</v>
      </c>
      <c r="C85" s="70">
        <f t="shared" si="1"/>
        <v>1010.5806608695653</v>
      </c>
      <c r="D85" s="62">
        <f>'Impeller 6G 1150'!P20</f>
        <v>78.3626</v>
      </c>
      <c r="E85" s="70">
        <f t="shared" si="2"/>
        <v>65.932637986892502</v>
      </c>
    </row>
    <row r="86" spans="2:5" x14ac:dyDescent="0.5">
      <c r="B86" s="62">
        <f t="shared" si="1"/>
        <v>1201.3800000000001</v>
      </c>
      <c r="C86" s="70">
        <f t="shared" si="1"/>
        <v>1101.9863254658387</v>
      </c>
      <c r="D86" s="62">
        <f>'Impeller 6G 1150'!P21</f>
        <v>76.413300000000007</v>
      </c>
      <c r="E86" s="70">
        <f t="shared" si="2"/>
        <v>64.292538102153486</v>
      </c>
    </row>
    <row r="87" spans="2:5" x14ac:dyDescent="0.5">
      <c r="B87" s="62">
        <f t="shared" si="1"/>
        <v>1302.42</v>
      </c>
      <c r="C87" s="70">
        <f t="shared" si="1"/>
        <v>1194.6669913043479</v>
      </c>
      <c r="D87" s="62">
        <f>'Impeller 6G 1150'!P22</f>
        <v>74.074100000000001</v>
      </c>
      <c r="E87" s="70">
        <f t="shared" si="2"/>
        <v>62.324384585310753</v>
      </c>
    </row>
    <row r="88" spans="2:5" x14ac:dyDescent="0.5">
      <c r="B88" s="62">
        <f t="shared" si="1"/>
        <v>1402.08</v>
      </c>
      <c r="C88" s="70">
        <f t="shared" si="1"/>
        <v>1286.0818285714286</v>
      </c>
      <c r="D88" s="62">
        <f>'Impeller 6G 1150'!P23</f>
        <v>71.540000000000006</v>
      </c>
      <c r="E88" s="70">
        <f t="shared" si="2"/>
        <v>60.192246321361075</v>
      </c>
    </row>
    <row r="89" spans="2:5" x14ac:dyDescent="0.5">
      <c r="B89" s="62">
        <f t="shared" si="1"/>
        <v>1501.73</v>
      </c>
      <c r="C89" s="70">
        <f t="shared" si="1"/>
        <v>1377.487493167702</v>
      </c>
      <c r="D89" s="62">
        <f>'Impeller 6G 1150'!P24</f>
        <v>68.518500000000003</v>
      </c>
      <c r="E89" s="70">
        <f t="shared" si="2"/>
        <v>57.650019982809319</v>
      </c>
    </row>
    <row r="90" spans="2:5" x14ac:dyDescent="0.5">
      <c r="B90" s="62">
        <f t="shared" si="1"/>
        <v>1600</v>
      </c>
      <c r="C90" s="70">
        <f t="shared" si="1"/>
        <v>1467.6273291925468</v>
      </c>
      <c r="D90" s="62">
        <f>'Impeller 6G 1150'!P25</f>
        <v>64.619900000000001</v>
      </c>
      <c r="E90" s="70">
        <f t="shared" si="2"/>
        <v>54.369820213331288</v>
      </c>
    </row>
    <row r="91" spans="2:5" x14ac:dyDescent="0.5">
      <c r="B91" s="62">
        <f t="shared" si="1"/>
        <v>1647.06</v>
      </c>
      <c r="C91" s="70">
        <f t="shared" si="1"/>
        <v>1510.7939180124224</v>
      </c>
      <c r="D91" s="62">
        <f>'Impeller 6G 1150'!P26</f>
        <v>62.4756</v>
      </c>
      <c r="E91" s="70">
        <f t="shared" si="2"/>
        <v>52.565651443595549</v>
      </c>
    </row>
    <row r="92" spans="2:5" x14ac:dyDescent="0.5">
      <c r="B92" s="62">
        <f t="shared" ref="B92:C97" si="3">B56</f>
        <v>1699.65</v>
      </c>
      <c r="C92" s="70">
        <f t="shared" si="3"/>
        <v>1559.03299378882</v>
      </c>
      <c r="D92" s="62">
        <f>'Impeller 6G 1150'!P27</f>
        <v>60.039000000000001</v>
      </c>
      <c r="E92" s="70">
        <f t="shared" si="2"/>
        <v>50.515547622144219</v>
      </c>
    </row>
    <row r="93" spans="2:5" x14ac:dyDescent="0.5">
      <c r="B93" s="62">
        <f t="shared" si="3"/>
        <v>1791</v>
      </c>
      <c r="C93" s="70">
        <f t="shared" si="3"/>
        <v>1642.8253416149071</v>
      </c>
      <c r="D93" s="62">
        <f>'Impeller 6G 1150'!P28</f>
        <v>55.165700000000001</v>
      </c>
      <c r="E93" s="70">
        <f t="shared" si="2"/>
        <v>46.415255841351815</v>
      </c>
    </row>
    <row r="94" spans="2:5" x14ac:dyDescent="0.5">
      <c r="B94" s="62">
        <f t="shared" si="3"/>
        <v>1847.75</v>
      </c>
      <c r="C94" s="70">
        <f t="shared" si="3"/>
        <v>1694.8802484472051</v>
      </c>
      <c r="D94" s="62">
        <f>'Impeller 6G 1150'!P29</f>
        <v>51.3645</v>
      </c>
      <c r="E94" s="70">
        <f t="shared" si="2"/>
        <v>43.217006376482395</v>
      </c>
    </row>
    <row r="95" spans="2:5" x14ac:dyDescent="0.5">
      <c r="B95" s="62">
        <f t="shared" si="3"/>
        <v>1903.11</v>
      </c>
      <c r="C95" s="70">
        <f t="shared" si="3"/>
        <v>1745.6601540372671</v>
      </c>
      <c r="D95" s="62">
        <f>'Impeller 6G 1150'!P30</f>
        <v>47.368400000000001</v>
      </c>
      <c r="E95" s="70">
        <f t="shared" si="2"/>
        <v>39.854772164506009</v>
      </c>
    </row>
    <row r="96" spans="2:5" x14ac:dyDescent="0.5">
      <c r="B96" s="62">
        <f t="shared" si="3"/>
        <v>1948.79</v>
      </c>
      <c r="C96" s="70">
        <f t="shared" si="3"/>
        <v>1787.5609142857145</v>
      </c>
      <c r="D96" s="62">
        <f>'Impeller 6G 1150'!P31</f>
        <v>43.8596</v>
      </c>
      <c r="E96" s="70">
        <f t="shared" si="2"/>
        <v>36.902541889241938</v>
      </c>
    </row>
    <row r="97" spans="1:7" x14ac:dyDescent="0.5">
      <c r="B97" s="62">
        <f t="shared" si="3"/>
        <v>2013.84</v>
      </c>
      <c r="C97" s="70">
        <f t="shared" si="3"/>
        <v>1847.2291378881989</v>
      </c>
      <c r="D97" s="62">
        <f>'Impeller 6G 1150'!P32</f>
        <v>38.401600000000002</v>
      </c>
      <c r="E97" s="70">
        <f t="shared" si="2"/>
        <v>32.310295867128595</v>
      </c>
    </row>
    <row r="98" spans="1:7" x14ac:dyDescent="0.5">
      <c r="A98" s="58" t="s">
        <v>96</v>
      </c>
      <c r="B98" s="59"/>
      <c r="C98" s="59"/>
      <c r="D98" s="59"/>
      <c r="E98" s="59"/>
      <c r="F98" s="60"/>
      <c r="G98" s="60"/>
    </row>
  </sheetData>
  <pageMargins left="0.7" right="0.7" top="0.75" bottom="0.75" header="0.3" footer="0.3"/>
  <drawing r:id="rId1"/>
  <legacyDrawing r:id="rId2"/>
  <oleObjects>
    <mc:AlternateContent xmlns:mc="http://schemas.openxmlformats.org/markup-compatibility/2006">
      <mc:Choice Requires="x14">
        <oleObject progId="Equation.DSMT4" shapeId="64513" r:id="rId3">
          <objectPr defaultSize="0" autoPict="0" r:id="rId4">
            <anchor moveWithCells="1">
              <from>
                <xdr:col>0</xdr:col>
                <xdr:colOff>0</xdr:colOff>
                <xdr:row>63</xdr:row>
                <xdr:rowOff>160867</xdr:rowOff>
              </from>
              <to>
                <xdr:col>2</xdr:col>
                <xdr:colOff>1134533</xdr:colOff>
                <xdr:row>71</xdr:row>
                <xdr:rowOff>122767</xdr:rowOff>
              </to>
            </anchor>
          </objectPr>
        </oleObject>
      </mc:Choice>
      <mc:Fallback>
        <oleObject progId="Equation.DSMT4" shapeId="64513" r:id="rId3"/>
      </mc:Fallback>
    </mc:AlternateContent>
    <mc:AlternateContent xmlns:mc="http://schemas.openxmlformats.org/markup-compatibility/2006">
      <mc:Choice Requires="x14">
        <oleObject progId="Equation.DSMT4" shapeId="64514" r:id="rId5">
          <objectPr defaultSize="0" autoPict="0" r:id="rId6">
            <anchor moveWithCells="1">
              <from>
                <xdr:col>0</xdr:col>
                <xdr:colOff>0</xdr:colOff>
                <xdr:row>2</xdr:row>
                <xdr:rowOff>0</xdr:rowOff>
              </from>
              <to>
                <xdr:col>3</xdr:col>
                <xdr:colOff>1087967</xdr:colOff>
                <xdr:row>15</xdr:row>
                <xdr:rowOff>8467</xdr:rowOff>
              </to>
            </anchor>
          </objectPr>
        </oleObject>
      </mc:Choice>
      <mc:Fallback>
        <oleObject progId="Equation.DSMT4" shapeId="64514" r:id="rId5"/>
      </mc:Fallback>
    </mc:AlternateContent>
    <mc:AlternateContent xmlns:mc="http://schemas.openxmlformats.org/markup-compatibility/2006">
      <mc:Choice Requires="x14">
        <oleObject progId="Equation.DSMT4" shapeId="64515" r:id="rId7">
          <objectPr defaultSize="0" autoPict="0" r:id="rId8">
            <anchor moveWithCells="1">
              <from>
                <xdr:col>0</xdr:col>
                <xdr:colOff>0</xdr:colOff>
                <xdr:row>24</xdr:row>
                <xdr:rowOff>0</xdr:rowOff>
              </from>
              <to>
                <xdr:col>3</xdr:col>
                <xdr:colOff>1066800</xdr:colOff>
                <xdr:row>32</xdr:row>
                <xdr:rowOff>67733</xdr:rowOff>
              </to>
            </anchor>
          </objectPr>
        </oleObject>
      </mc:Choice>
      <mc:Fallback>
        <oleObject progId="Equation.DSMT4" shapeId="64515" r:id="rId7"/>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9"/>
  </sheetPr>
  <dimension ref="A1:N73"/>
  <sheetViews>
    <sheetView defaultGridColor="0" topLeftCell="A10" colorId="22" workbookViewId="0">
      <selection activeCell="F27" sqref="F27:J27"/>
    </sheetView>
  </sheetViews>
  <sheetFormatPr defaultColWidth="15.703125" defaultRowHeight="18.7" x14ac:dyDescent="0.5"/>
  <cols>
    <col min="1" max="1" width="22.41015625" style="10" customWidth="1"/>
    <col min="2" max="2" width="36.703125" style="11" customWidth="1"/>
    <col min="3" max="3" width="16.703125" style="10" customWidth="1"/>
    <col min="4" max="4" width="13.87890625" style="10" customWidth="1"/>
    <col min="5" max="5" width="15.703125" style="10"/>
    <col min="6" max="7" width="16.703125" style="10" customWidth="1"/>
    <col min="8" max="8" width="19.5859375" style="10" customWidth="1"/>
    <col min="9" max="9" width="15.703125" style="10"/>
    <col min="10" max="10" width="16.703125" style="10" customWidth="1"/>
    <col min="11" max="11" width="19.5859375" style="10" customWidth="1"/>
    <col min="12" max="13" width="15.703125" style="10"/>
    <col min="14" max="15" width="21" style="10" customWidth="1"/>
    <col min="16" max="17" width="22.41015625" style="10" customWidth="1"/>
    <col min="18" max="18" width="15.703125" style="10"/>
    <col min="19" max="19" width="16.703125" style="10" customWidth="1"/>
    <col min="20" max="20" width="21" style="10" customWidth="1"/>
    <col min="21" max="16384" width="15.703125" style="10"/>
  </cols>
  <sheetData>
    <row r="1" spans="1:14" s="48" customFormat="1" ht="117" customHeight="1" x14ac:dyDescent="0.5">
      <c r="B1" s="50"/>
      <c r="C1" s="49"/>
    </row>
    <row r="2" spans="1:14" ht="19.5" customHeight="1" x14ac:dyDescent="0.5">
      <c r="A2" s="47" t="s">
        <v>0</v>
      </c>
      <c r="B2" s="46"/>
      <c r="C2" s="43"/>
    </row>
    <row r="3" spans="1:14" ht="19.5" customHeight="1" x14ac:dyDescent="0.5">
      <c r="A3" s="47" t="s">
        <v>1</v>
      </c>
      <c r="B3" s="46"/>
      <c r="C3" s="43"/>
    </row>
    <row r="4" spans="1:14" x14ac:dyDescent="0.5">
      <c r="A4" s="45" t="s">
        <v>2</v>
      </c>
      <c r="B4" s="44"/>
      <c r="C4" s="43"/>
      <c r="D4" s="43"/>
    </row>
    <row r="5" spans="1:14" s="27" customFormat="1" x14ac:dyDescent="0.8">
      <c r="A5" s="41" t="s">
        <v>3</v>
      </c>
      <c r="B5" s="42">
        <v>42831.272505439818</v>
      </c>
      <c r="C5" s="31"/>
      <c r="D5" s="31"/>
      <c r="E5" s="28"/>
      <c r="F5" s="28"/>
      <c r="G5" s="30"/>
      <c r="H5" s="28"/>
      <c r="I5" s="28"/>
      <c r="J5" s="28"/>
      <c r="K5" s="28"/>
      <c r="L5" s="29"/>
      <c r="M5" s="28"/>
      <c r="N5" s="28"/>
    </row>
    <row r="6" spans="1:14" s="27" customFormat="1" x14ac:dyDescent="0.8">
      <c r="A6" s="41" t="s">
        <v>4</v>
      </c>
      <c r="B6" s="32" t="s">
        <v>64</v>
      </c>
      <c r="C6" s="31"/>
      <c r="D6" s="31"/>
      <c r="E6" s="28"/>
      <c r="F6" s="28"/>
      <c r="G6" s="30"/>
      <c r="H6" s="28"/>
      <c r="I6" s="28"/>
      <c r="J6" s="28"/>
      <c r="K6" s="28"/>
      <c r="L6" s="29"/>
      <c r="M6" s="28"/>
      <c r="N6" s="28"/>
    </row>
    <row r="7" spans="1:14" s="27" customFormat="1" x14ac:dyDescent="0.8">
      <c r="A7" s="41" t="s">
        <v>6</v>
      </c>
      <c r="B7" s="32"/>
      <c r="C7" s="31"/>
      <c r="D7" s="31"/>
      <c r="E7" s="28"/>
      <c r="F7" s="28"/>
      <c r="G7" s="30"/>
      <c r="H7" s="28"/>
      <c r="I7" s="28"/>
      <c r="J7" s="28"/>
      <c r="K7" s="28"/>
      <c r="L7" s="29"/>
      <c r="M7" s="28"/>
      <c r="N7" s="28"/>
    </row>
    <row r="8" spans="1:14" s="27" customFormat="1" x14ac:dyDescent="0.8">
      <c r="A8" s="41" t="s">
        <v>8</v>
      </c>
      <c r="B8" s="32" t="s">
        <v>9</v>
      </c>
      <c r="C8" s="31"/>
      <c r="D8" s="31"/>
      <c r="E8" s="28"/>
      <c r="F8" s="28"/>
      <c r="G8" s="28"/>
      <c r="H8" s="28"/>
      <c r="I8" s="28"/>
      <c r="J8" s="28"/>
      <c r="L8" s="29"/>
      <c r="M8" s="28"/>
      <c r="N8" s="28"/>
    </row>
    <row r="9" spans="1:14" s="27" customFormat="1" x14ac:dyDescent="0.5">
      <c r="A9" s="40" t="s">
        <v>10</v>
      </c>
      <c r="B9" s="31"/>
      <c r="C9" s="31"/>
      <c r="D9" s="31"/>
      <c r="E9" s="28"/>
      <c r="F9" s="28"/>
      <c r="G9" s="28"/>
      <c r="H9" s="28"/>
      <c r="I9" s="28"/>
      <c r="J9" s="28"/>
      <c r="L9" s="29"/>
      <c r="M9" s="28"/>
      <c r="N9" s="28"/>
    </row>
    <row r="10" spans="1:14" s="27" customFormat="1" x14ac:dyDescent="0.5">
      <c r="A10" s="33">
        <v>1</v>
      </c>
      <c r="B10" s="37" t="s">
        <v>63</v>
      </c>
      <c r="C10" s="96">
        <v>162.5</v>
      </c>
      <c r="D10" s="38" t="s">
        <v>125</v>
      </c>
      <c r="E10" s="28"/>
      <c r="F10" s="28"/>
      <c r="H10" s="28"/>
      <c r="I10" s="28"/>
      <c r="J10" s="28"/>
      <c r="L10" s="29"/>
      <c r="M10" s="28"/>
      <c r="N10" s="28"/>
    </row>
    <row r="11" spans="1:14" s="27" customFormat="1" x14ac:dyDescent="0.5">
      <c r="A11" s="33">
        <f>A10+1</f>
        <v>2</v>
      </c>
      <c r="B11" s="37" t="s">
        <v>62</v>
      </c>
      <c r="C11" s="97">
        <f>'Design Point System Curve'!C11</f>
        <v>70</v>
      </c>
      <c r="D11" s="32" t="s">
        <v>98</v>
      </c>
      <c r="E11" s="28"/>
      <c r="F11" s="28"/>
      <c r="G11" s="28"/>
      <c r="H11" s="28"/>
      <c r="I11" s="28"/>
      <c r="J11" s="28"/>
      <c r="L11" s="29"/>
      <c r="M11" s="28"/>
      <c r="N11" s="28"/>
    </row>
    <row r="12" spans="1:14" s="27" customFormat="1" x14ac:dyDescent="0.5">
      <c r="A12" s="33">
        <f>A11+1</f>
        <v>3</v>
      </c>
      <c r="B12" s="37" t="s">
        <v>61</v>
      </c>
      <c r="C12" s="36">
        <v>0</v>
      </c>
      <c r="D12" s="32" t="s">
        <v>111</v>
      </c>
      <c r="E12" s="28"/>
      <c r="F12" s="28"/>
      <c r="G12" s="28"/>
      <c r="H12" s="28"/>
      <c r="I12" s="28"/>
      <c r="J12" s="28"/>
      <c r="L12" s="29"/>
      <c r="M12" s="28"/>
      <c r="N12" s="28"/>
    </row>
    <row r="13" spans="1:14" s="27" customFormat="1" x14ac:dyDescent="0.5">
      <c r="A13" s="33">
        <v>4</v>
      </c>
      <c r="B13" s="37" t="s">
        <v>112</v>
      </c>
      <c r="C13" s="83">
        <v>2</v>
      </c>
      <c r="D13" s="32" t="s">
        <v>113</v>
      </c>
      <c r="E13" s="28"/>
      <c r="F13" s="28"/>
      <c r="G13" s="28"/>
      <c r="H13" s="28"/>
      <c r="I13" s="28"/>
      <c r="J13" s="28"/>
      <c r="L13" s="35"/>
      <c r="M13" s="28"/>
      <c r="N13" s="34"/>
    </row>
    <row r="14" spans="1:14" s="27" customFormat="1" x14ac:dyDescent="0.5">
      <c r="A14" s="33">
        <v>5</v>
      </c>
      <c r="B14" s="37" t="s">
        <v>78</v>
      </c>
      <c r="C14" s="95">
        <v>0.3</v>
      </c>
      <c r="D14" s="32" t="s">
        <v>137</v>
      </c>
      <c r="E14" s="28"/>
      <c r="F14" s="28"/>
      <c r="G14" s="28"/>
      <c r="H14" s="28"/>
      <c r="I14" s="28"/>
      <c r="J14" s="28"/>
      <c r="L14" s="35"/>
      <c r="M14" s="28"/>
      <c r="N14" s="34"/>
    </row>
    <row r="15" spans="1:14" s="27" customFormat="1" x14ac:dyDescent="0.5">
      <c r="A15" s="33">
        <v>6</v>
      </c>
      <c r="B15" s="37" t="s">
        <v>76</v>
      </c>
      <c r="C15" s="57">
        <f>(C10*C11)/(3960*C14)</f>
        <v>9.5749158249158253</v>
      </c>
      <c r="D15" s="32" t="s">
        <v>77</v>
      </c>
      <c r="E15" s="28"/>
      <c r="F15" s="28"/>
      <c r="G15" s="30"/>
      <c r="H15" s="28"/>
      <c r="I15" s="28"/>
      <c r="J15" s="28"/>
      <c r="K15" s="28"/>
      <c r="L15" s="29"/>
      <c r="M15" s="28"/>
      <c r="N15" s="28"/>
    </row>
    <row r="16" spans="1:14" s="27" customFormat="1" x14ac:dyDescent="0.5">
      <c r="A16" s="33">
        <v>7</v>
      </c>
      <c r="B16" s="37" t="s">
        <v>92</v>
      </c>
      <c r="C16" s="57">
        <v>13.5</v>
      </c>
      <c r="D16" s="32" t="s">
        <v>81</v>
      </c>
      <c r="E16" s="28"/>
      <c r="F16" s="28"/>
      <c r="G16" s="30"/>
      <c r="H16" s="28"/>
      <c r="I16" s="28"/>
      <c r="J16" s="28"/>
      <c r="K16" s="28"/>
      <c r="L16" s="29"/>
      <c r="M16" s="28"/>
      <c r="N16" s="28"/>
    </row>
    <row r="17" spans="1:14" s="27" customFormat="1" x14ac:dyDescent="0.5">
      <c r="A17" s="33">
        <v>8</v>
      </c>
      <c r="B17" s="37" t="s">
        <v>93</v>
      </c>
      <c r="C17" s="57">
        <v>10</v>
      </c>
      <c r="D17" s="32" t="s">
        <v>81</v>
      </c>
      <c r="E17" s="28"/>
      <c r="F17" s="28"/>
      <c r="G17" s="30"/>
      <c r="H17" s="28"/>
      <c r="I17" s="28"/>
      <c r="J17" s="28"/>
      <c r="K17" s="28"/>
      <c r="L17" s="29"/>
      <c r="M17" s="28"/>
      <c r="N17" s="28"/>
    </row>
    <row r="18" spans="1:14" s="27" customFormat="1" x14ac:dyDescent="0.5">
      <c r="A18" s="33"/>
      <c r="B18" s="32" t="s">
        <v>114</v>
      </c>
      <c r="C18" s="57"/>
      <c r="D18" s="32"/>
      <c r="E18" s="28"/>
      <c r="F18" s="28"/>
      <c r="G18" s="30"/>
      <c r="H18" s="28"/>
      <c r="I18" s="28"/>
      <c r="J18" s="28"/>
      <c r="K18" s="28"/>
      <c r="L18" s="29"/>
      <c r="M18" s="28"/>
      <c r="N18" s="28"/>
    </row>
    <row r="19" spans="1:14" s="27" customFormat="1" x14ac:dyDescent="0.5">
      <c r="A19" s="33"/>
      <c r="B19" s="32" t="s">
        <v>115</v>
      </c>
      <c r="C19" s="57"/>
      <c r="D19" s="32"/>
      <c r="E19" s="28"/>
      <c r="F19" s="28"/>
      <c r="G19" s="30"/>
      <c r="H19" s="28"/>
      <c r="I19" s="28"/>
      <c r="J19" s="28"/>
      <c r="K19" s="28"/>
      <c r="L19" s="29"/>
      <c r="M19" s="28"/>
      <c r="N19" s="28"/>
    </row>
    <row r="20" spans="1:14" x14ac:dyDescent="0.5">
      <c r="A20" s="26"/>
      <c r="B20" s="25"/>
      <c r="C20" s="20"/>
      <c r="D20" s="20"/>
    </row>
    <row r="21" spans="1:14" ht="24.95" customHeight="1" x14ac:dyDescent="0.5">
      <c r="A21" s="24"/>
      <c r="B21" s="240" t="s">
        <v>60</v>
      </c>
      <c r="C21" s="240"/>
      <c r="D21" s="240"/>
      <c r="E21" s="98"/>
      <c r="F21" s="237" t="s">
        <v>139</v>
      </c>
      <c r="G21" s="237"/>
      <c r="H21" s="237"/>
      <c r="I21" s="237"/>
      <c r="J21" s="237"/>
      <c r="K21" s="98"/>
      <c r="L21" s="106"/>
      <c r="M21" s="106"/>
    </row>
    <row r="22" spans="1:14" ht="24.95" customHeight="1" x14ac:dyDescent="0.5">
      <c r="A22" s="13"/>
      <c r="B22" s="80" t="s">
        <v>59</v>
      </c>
      <c r="C22" s="81" t="s">
        <v>49</v>
      </c>
      <c r="D22" s="82" t="s">
        <v>116</v>
      </c>
      <c r="E22" s="100"/>
      <c r="F22" s="237" t="s">
        <v>140</v>
      </c>
      <c r="G22" s="237"/>
      <c r="H22" s="237"/>
      <c r="I22" s="237"/>
      <c r="J22" s="237"/>
      <c r="K22" s="100"/>
      <c r="L22" s="106"/>
      <c r="M22" s="106"/>
    </row>
    <row r="23" spans="1:14" x14ac:dyDescent="0.5">
      <c r="A23" s="13"/>
      <c r="B23" s="21" t="s">
        <v>138</v>
      </c>
      <c r="C23" s="23">
        <f>2*C25</f>
        <v>325</v>
      </c>
      <c r="D23" s="52">
        <f>$D$40+(($D$25-$D$40)*((C23/$C$25)^$C$13))</f>
        <v>280</v>
      </c>
      <c r="E23" s="101"/>
      <c r="F23" s="237" t="s">
        <v>141</v>
      </c>
      <c r="G23" s="237"/>
      <c r="H23" s="237"/>
      <c r="I23" s="237"/>
      <c r="J23" s="237"/>
      <c r="K23" s="101"/>
      <c r="L23" s="106"/>
      <c r="M23" s="106"/>
    </row>
    <row r="24" spans="1:14" x14ac:dyDescent="0.5">
      <c r="A24" s="13"/>
      <c r="B24" s="22" t="s">
        <v>57</v>
      </c>
      <c r="C24" s="53">
        <f>1.2*C25</f>
        <v>195</v>
      </c>
      <c r="D24" s="54">
        <f>$D$40+(($D$25-$D$40)*((C24/$C$25)^$C$13))</f>
        <v>100.8</v>
      </c>
      <c r="E24" s="102"/>
      <c r="F24" s="237" t="s">
        <v>142</v>
      </c>
      <c r="G24" s="237"/>
      <c r="H24" s="237"/>
      <c r="I24" s="237"/>
      <c r="J24" s="237"/>
      <c r="K24" s="102"/>
      <c r="L24" s="106"/>
      <c r="M24" s="106"/>
    </row>
    <row r="25" spans="1:14" x14ac:dyDescent="0.5">
      <c r="A25" s="13"/>
      <c r="B25" s="86" t="s">
        <v>56</v>
      </c>
      <c r="C25" s="87">
        <f>$C$10</f>
        <v>162.5</v>
      </c>
      <c r="D25" s="88">
        <f>$C$11</f>
        <v>70</v>
      </c>
      <c r="E25" s="103"/>
      <c r="F25" s="237" t="s">
        <v>143</v>
      </c>
      <c r="G25" s="237"/>
      <c r="H25" s="237"/>
      <c r="I25" s="237"/>
      <c r="J25" s="237"/>
      <c r="K25" s="103"/>
      <c r="L25" s="106"/>
      <c r="M25" s="106"/>
    </row>
    <row r="26" spans="1:14" x14ac:dyDescent="0.5">
      <c r="A26" s="13"/>
      <c r="B26" s="22" t="s">
        <v>55</v>
      </c>
      <c r="C26" s="53">
        <f>0.8*C25</f>
        <v>130</v>
      </c>
      <c r="D26" s="54">
        <f t="shared" ref="D26:D39" si="0">$D$40+(($D$25-$D$40)*((C26/$C$25)^$C$13))</f>
        <v>44.800000000000011</v>
      </c>
      <c r="E26" s="104"/>
      <c r="F26" s="237" t="s">
        <v>144</v>
      </c>
      <c r="G26" s="237"/>
      <c r="H26" s="237"/>
      <c r="I26" s="237"/>
      <c r="J26" s="237"/>
      <c r="K26" s="104"/>
      <c r="L26" s="106"/>
      <c r="M26" s="106"/>
    </row>
    <row r="27" spans="1:14" x14ac:dyDescent="0.5">
      <c r="A27" s="13"/>
      <c r="B27" s="21" t="s">
        <v>54</v>
      </c>
      <c r="C27" s="23">
        <f>0.6*C25</f>
        <v>97.5</v>
      </c>
      <c r="D27" s="52">
        <f t="shared" si="0"/>
        <v>25.2</v>
      </c>
      <c r="E27" s="105"/>
      <c r="F27" s="237" t="s">
        <v>146</v>
      </c>
      <c r="G27" s="237"/>
      <c r="H27" s="237"/>
      <c r="I27" s="237"/>
      <c r="J27" s="237"/>
      <c r="K27" s="105"/>
      <c r="L27" s="106"/>
      <c r="M27" s="106"/>
    </row>
    <row r="28" spans="1:14" x14ac:dyDescent="0.5">
      <c r="A28" s="13"/>
      <c r="B28" s="22" t="s">
        <v>53</v>
      </c>
      <c r="C28" s="53">
        <f>0.4*C25</f>
        <v>65</v>
      </c>
      <c r="D28" s="54">
        <f t="shared" si="0"/>
        <v>11.200000000000003</v>
      </c>
    </row>
    <row r="29" spans="1:14" x14ac:dyDescent="0.5">
      <c r="A29" s="13"/>
      <c r="B29" s="21" t="s">
        <v>67</v>
      </c>
      <c r="C29" s="23">
        <f>0.3*C25</f>
        <v>48.75</v>
      </c>
      <c r="D29" s="52">
        <f t="shared" si="0"/>
        <v>6.3</v>
      </c>
    </row>
    <row r="30" spans="1:14" x14ac:dyDescent="0.5">
      <c r="A30" s="13"/>
      <c r="B30" s="22" t="s">
        <v>52</v>
      </c>
      <c r="C30" s="53">
        <f>0.2*C25</f>
        <v>32.5</v>
      </c>
      <c r="D30" s="54">
        <f t="shared" si="0"/>
        <v>2.8000000000000007</v>
      </c>
    </row>
    <row r="31" spans="1:14" x14ac:dyDescent="0.5">
      <c r="A31" s="13"/>
      <c r="B31" s="21" t="s">
        <v>68</v>
      </c>
      <c r="C31" s="23">
        <f>0.18*C25</f>
        <v>29.25</v>
      </c>
      <c r="D31" s="52">
        <f t="shared" si="0"/>
        <v>2.2679999999999998</v>
      </c>
    </row>
    <row r="32" spans="1:14" x14ac:dyDescent="0.5">
      <c r="A32" s="13"/>
      <c r="B32" s="22" t="s">
        <v>69</v>
      </c>
      <c r="C32" s="53">
        <f>0.16*C25</f>
        <v>26</v>
      </c>
      <c r="D32" s="54">
        <f t="shared" si="0"/>
        <v>1.792</v>
      </c>
    </row>
    <row r="33" spans="1:5" x14ac:dyDescent="0.5">
      <c r="A33" s="13"/>
      <c r="B33" s="21" t="s">
        <v>70</v>
      </c>
      <c r="C33" s="23">
        <f>0.14*C25</f>
        <v>22.750000000000004</v>
      </c>
      <c r="D33" s="52">
        <f t="shared" si="0"/>
        <v>1.3720000000000001</v>
      </c>
    </row>
    <row r="34" spans="1:5" x14ac:dyDescent="0.5">
      <c r="A34" s="13"/>
      <c r="B34" s="22" t="s">
        <v>71</v>
      </c>
      <c r="C34" s="53">
        <f>0.12*C25</f>
        <v>19.5</v>
      </c>
      <c r="D34" s="54">
        <f t="shared" si="0"/>
        <v>1.008</v>
      </c>
    </row>
    <row r="35" spans="1:5" x14ac:dyDescent="0.5">
      <c r="A35" s="13"/>
      <c r="B35" s="21" t="s">
        <v>51</v>
      </c>
      <c r="C35" s="23">
        <f>0.1*C25</f>
        <v>16.25</v>
      </c>
      <c r="D35" s="52">
        <f t="shared" si="0"/>
        <v>0.70000000000000018</v>
      </c>
    </row>
    <row r="36" spans="1:5" x14ac:dyDescent="0.5">
      <c r="A36" s="13"/>
      <c r="B36" s="22" t="s">
        <v>72</v>
      </c>
      <c r="C36" s="53">
        <f>0.08*C25</f>
        <v>13</v>
      </c>
      <c r="D36" s="54">
        <f t="shared" si="0"/>
        <v>0.44800000000000001</v>
      </c>
    </row>
    <row r="37" spans="1:5" x14ac:dyDescent="0.5">
      <c r="A37" s="13"/>
      <c r="B37" s="21" t="s">
        <v>73</v>
      </c>
      <c r="C37" s="23">
        <f>0.06*C25</f>
        <v>9.75</v>
      </c>
      <c r="D37" s="52">
        <f t="shared" si="0"/>
        <v>0.252</v>
      </c>
    </row>
    <row r="38" spans="1:5" x14ac:dyDescent="0.5">
      <c r="A38" s="13"/>
      <c r="B38" s="22" t="s">
        <v>74</v>
      </c>
      <c r="C38" s="53">
        <f>0.04*C27</f>
        <v>3.9</v>
      </c>
      <c r="D38" s="54">
        <f t="shared" si="0"/>
        <v>4.0320000000000002E-2</v>
      </c>
    </row>
    <row r="39" spans="1:5" x14ac:dyDescent="0.5">
      <c r="A39" s="13"/>
      <c r="B39" s="21" t="s">
        <v>75</v>
      </c>
      <c r="C39" s="23">
        <f>0.02*C27</f>
        <v>1.95</v>
      </c>
      <c r="D39" s="52">
        <f t="shared" si="0"/>
        <v>1.008E-2</v>
      </c>
    </row>
    <row r="40" spans="1:5" x14ac:dyDescent="0.5">
      <c r="A40" s="13"/>
      <c r="B40" s="22" t="s">
        <v>50</v>
      </c>
      <c r="C40" s="53">
        <v>0</v>
      </c>
      <c r="D40" s="56">
        <f>$C$12</f>
        <v>0</v>
      </c>
      <c r="E40" s="20"/>
    </row>
    <row r="41" spans="1:5" x14ac:dyDescent="0.5">
      <c r="B41" s="51"/>
      <c r="C41" s="20"/>
      <c r="D41" s="20"/>
    </row>
    <row r="42" spans="1:5" x14ac:dyDescent="0.5">
      <c r="A42" s="13"/>
      <c r="B42" s="71" t="s">
        <v>99</v>
      </c>
      <c r="C42" s="72"/>
      <c r="D42" s="73"/>
    </row>
    <row r="43" spans="1:5" x14ac:dyDescent="0.5">
      <c r="A43" s="13"/>
      <c r="B43" s="22" t="s">
        <v>65</v>
      </c>
      <c r="C43" s="55">
        <v>2500</v>
      </c>
      <c r="D43" s="54">
        <f>D25</f>
        <v>70</v>
      </c>
      <c r="E43" s="10" t="s">
        <v>117</v>
      </c>
    </row>
    <row r="44" spans="1:5" x14ac:dyDescent="0.5">
      <c r="A44" s="13"/>
      <c r="B44" s="21"/>
      <c r="C44" s="55">
        <v>0</v>
      </c>
      <c r="D44" s="52">
        <f>D43</f>
        <v>70</v>
      </c>
    </row>
    <row r="45" spans="1:5" x14ac:dyDescent="0.5">
      <c r="A45" s="13"/>
      <c r="B45" s="22" t="s">
        <v>66</v>
      </c>
      <c r="C45" s="53">
        <f>C25</f>
        <v>162.5</v>
      </c>
      <c r="D45" s="85">
        <v>90</v>
      </c>
      <c r="E45" s="10" t="s">
        <v>118</v>
      </c>
    </row>
    <row r="46" spans="1:5" x14ac:dyDescent="0.5">
      <c r="A46" s="13"/>
      <c r="B46" s="21"/>
      <c r="C46" s="23">
        <f>C45</f>
        <v>162.5</v>
      </c>
      <c r="D46" s="85">
        <f>D40</f>
        <v>0</v>
      </c>
    </row>
    <row r="47" spans="1:5" x14ac:dyDescent="0.5">
      <c r="A47" s="13"/>
    </row>
    <row r="48" spans="1:5" x14ac:dyDescent="0.5">
      <c r="A48" s="13"/>
      <c r="B48" s="71" t="s">
        <v>101</v>
      </c>
      <c r="C48" s="72"/>
      <c r="D48" s="73"/>
    </row>
    <row r="49" spans="1:5" x14ac:dyDescent="0.5">
      <c r="A49" s="13"/>
      <c r="B49" s="22" t="s">
        <v>65</v>
      </c>
      <c r="C49" s="74">
        <f>C43</f>
        <v>2500</v>
      </c>
      <c r="D49" s="84">
        <v>79.924999999999997</v>
      </c>
      <c r="E49" s="10" t="s">
        <v>120</v>
      </c>
    </row>
    <row r="50" spans="1:5" x14ac:dyDescent="0.5">
      <c r="A50" s="13"/>
      <c r="B50" s="21"/>
      <c r="C50" s="23">
        <v>0</v>
      </c>
      <c r="D50" s="52">
        <f>D49</f>
        <v>79.924999999999997</v>
      </c>
    </row>
    <row r="51" spans="1:5" x14ac:dyDescent="0.5">
      <c r="A51" s="13"/>
      <c r="B51" s="22" t="s">
        <v>66</v>
      </c>
      <c r="C51" s="77">
        <v>175</v>
      </c>
      <c r="D51" s="75">
        <f>D45</f>
        <v>90</v>
      </c>
      <c r="E51" s="10" t="s">
        <v>119</v>
      </c>
    </row>
    <row r="52" spans="1:5" x14ac:dyDescent="0.5">
      <c r="A52" s="13"/>
      <c r="B52" s="21"/>
      <c r="C52" s="23">
        <f>C51</f>
        <v>175</v>
      </c>
      <c r="D52" s="76">
        <f>D46</f>
        <v>0</v>
      </c>
    </row>
    <row r="53" spans="1:5" x14ac:dyDescent="0.5">
      <c r="A53" s="13"/>
      <c r="B53" s="17"/>
    </row>
    <row r="54" spans="1:5" x14ac:dyDescent="0.5">
      <c r="A54" s="13"/>
      <c r="B54" s="17"/>
    </row>
    <row r="55" spans="1:5" x14ac:dyDescent="0.5">
      <c r="A55" s="13"/>
      <c r="B55" s="17"/>
    </row>
    <row r="56" spans="1:5" x14ac:dyDescent="0.5">
      <c r="A56" s="13"/>
      <c r="B56" s="17"/>
      <c r="C56" s="16"/>
    </row>
    <row r="57" spans="1:5" x14ac:dyDescent="0.5">
      <c r="A57" s="13"/>
      <c r="B57" s="17"/>
      <c r="C57" s="16"/>
    </row>
    <row r="58" spans="1:5" x14ac:dyDescent="0.5">
      <c r="A58" s="13"/>
      <c r="B58" s="17"/>
      <c r="C58" s="16"/>
    </row>
    <row r="59" spans="1:5" x14ac:dyDescent="0.5">
      <c r="A59" s="13"/>
      <c r="B59" s="17"/>
      <c r="C59" s="16"/>
    </row>
    <row r="60" spans="1:5" x14ac:dyDescent="0.5">
      <c r="A60" s="13"/>
      <c r="B60" s="17"/>
      <c r="C60" s="16"/>
    </row>
    <row r="61" spans="1:5" x14ac:dyDescent="0.5">
      <c r="A61" s="13"/>
      <c r="B61" s="17"/>
      <c r="C61" s="16"/>
    </row>
    <row r="62" spans="1:5" x14ac:dyDescent="0.5">
      <c r="A62" s="19"/>
      <c r="B62" s="17"/>
      <c r="C62" s="16"/>
    </row>
    <row r="63" spans="1:5" x14ac:dyDescent="0.5">
      <c r="A63" s="13"/>
      <c r="B63" s="17"/>
      <c r="C63" s="16"/>
    </row>
    <row r="64" spans="1:5" x14ac:dyDescent="0.5">
      <c r="A64" s="18"/>
      <c r="B64" s="17"/>
      <c r="C64" s="16"/>
    </row>
    <row r="65" spans="1:3" x14ac:dyDescent="0.5">
      <c r="B65" s="17"/>
      <c r="C65" s="16"/>
    </row>
    <row r="66" spans="1:3" x14ac:dyDescent="0.5">
      <c r="B66" s="17"/>
      <c r="C66" s="16"/>
    </row>
    <row r="67" spans="1:3" x14ac:dyDescent="0.5">
      <c r="A67" s="13"/>
      <c r="B67" s="14"/>
      <c r="C67" s="12"/>
    </row>
    <row r="68" spans="1:3" x14ac:dyDescent="0.5">
      <c r="A68" s="13"/>
      <c r="B68" s="14"/>
      <c r="C68" s="12"/>
    </row>
    <row r="69" spans="1:3" x14ac:dyDescent="0.5">
      <c r="A69" s="13"/>
      <c r="B69" s="14"/>
      <c r="C69" s="12"/>
    </row>
    <row r="70" spans="1:3" x14ac:dyDescent="0.5">
      <c r="A70" s="13"/>
      <c r="B70" s="15"/>
      <c r="C70" s="12"/>
    </row>
    <row r="71" spans="1:3" x14ac:dyDescent="0.5">
      <c r="A71" s="13"/>
      <c r="B71" s="14"/>
      <c r="C71" s="12"/>
    </row>
    <row r="72" spans="1:3" x14ac:dyDescent="0.5">
      <c r="A72" s="13"/>
      <c r="C72" s="12"/>
    </row>
    <row r="73" spans="1:3" x14ac:dyDescent="0.5">
      <c r="A73" s="13"/>
      <c r="C73" s="12"/>
    </row>
  </sheetData>
  <mergeCells count="8">
    <mergeCell ref="F26:J26"/>
    <mergeCell ref="F27:J27"/>
    <mergeCell ref="B21:D21"/>
    <mergeCell ref="F21:J21"/>
    <mergeCell ref="F22:J22"/>
    <mergeCell ref="F23:J23"/>
    <mergeCell ref="F24:J24"/>
    <mergeCell ref="F25:J25"/>
  </mergeCells>
  <hyperlinks>
    <hyperlink ref="F27:J27" location="Summary!A1" display="Click here to go to the summary tab"/>
    <hyperlink ref="F26:J26" location="'12.5 Pct'!A1" display="Click here to go to the 12.5% load condition tabs"/>
    <hyperlink ref="F25:J25" location="'25 Pct '!A1" display="Click here to go to the 25% load condition tabs"/>
    <hyperlink ref="F24:J24" location="'50 Pct'!A1" display="Click here to go to the 50% load condition tabs"/>
    <hyperlink ref="F23:J23" location="'75 Pct'!A1" display="Click here to go to the 75% load condition tabs"/>
    <hyperlink ref="F22:J22" location="'Design Point System Curve'!A1" display="Click here to go to the design condition tabs"/>
    <hyperlink ref="F21:J21" location="'1510 6G 1150rpm'!A1" display="Click here to go to the data used to plot the digital pump curve set"/>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66561" r:id="rId4">
          <objectPr defaultSize="0" autoPict="0" r:id="rId5">
            <anchor moveWithCells="1">
              <from>
                <xdr:col>7</xdr:col>
                <xdr:colOff>0</xdr:colOff>
                <xdr:row>0</xdr:row>
                <xdr:rowOff>0</xdr:rowOff>
              </from>
              <to>
                <xdr:col>11</xdr:col>
                <xdr:colOff>313267</xdr:colOff>
                <xdr:row>2</xdr:row>
                <xdr:rowOff>211667</xdr:rowOff>
              </to>
            </anchor>
          </objectPr>
        </oleObject>
      </mc:Choice>
      <mc:Fallback>
        <oleObject progId="Equation.DSMT4" shapeId="66561" r:id="rId4"/>
      </mc:Fallback>
    </mc:AlternateContent>
    <mc:AlternateContent xmlns:mc="http://schemas.openxmlformats.org/markup-compatibility/2006">
      <mc:Choice Requires="x14">
        <oleObject progId="Equation.DSMT4" shapeId="66562" r:id="rId6">
          <objectPr defaultSize="0" autoPict="0" r:id="rId7">
            <anchor moveWithCells="1">
              <from>
                <xdr:col>12</xdr:col>
                <xdr:colOff>0</xdr:colOff>
                <xdr:row>0</xdr:row>
                <xdr:rowOff>21167</xdr:rowOff>
              </from>
              <to>
                <xdr:col>16</xdr:col>
                <xdr:colOff>1354667</xdr:colOff>
                <xdr:row>5</xdr:row>
                <xdr:rowOff>105833</xdr:rowOff>
              </to>
            </anchor>
          </objectPr>
        </oleObject>
      </mc:Choice>
      <mc:Fallback>
        <oleObject progId="Equation.DSMT4" shapeId="66562" r:id="rId6"/>
      </mc:Fallback>
    </mc:AlternateContent>
    <mc:AlternateContent xmlns:mc="http://schemas.openxmlformats.org/markup-compatibility/2006">
      <mc:Choice Requires="x14">
        <oleObject progId="Equation.DSMT4" shapeId="66563" r:id="rId8">
          <objectPr defaultSize="0" autoPict="0" r:id="rId9">
            <anchor moveWithCells="1">
              <from>
                <xdr:col>7</xdr:col>
                <xdr:colOff>0</xdr:colOff>
                <xdr:row>3</xdr:row>
                <xdr:rowOff>0</xdr:rowOff>
              </from>
              <to>
                <xdr:col>11</xdr:col>
                <xdr:colOff>313267</xdr:colOff>
                <xdr:row>10</xdr:row>
                <xdr:rowOff>211667</xdr:rowOff>
              </to>
            </anchor>
          </objectPr>
        </oleObject>
      </mc:Choice>
      <mc:Fallback>
        <oleObject progId="Equation.DSMT4" shapeId="66563" r:id="rId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G98"/>
  <sheetViews>
    <sheetView workbookViewId="0">
      <selection activeCell="C18" sqref="C18"/>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102</v>
      </c>
      <c r="B1" s="59"/>
      <c r="C1" s="59"/>
      <c r="D1" s="59"/>
      <c r="E1" s="59"/>
      <c r="F1" s="60"/>
      <c r="G1" s="60"/>
    </row>
    <row r="2" spans="1:7" x14ac:dyDescent="0.5">
      <c r="A2" s="61" t="s">
        <v>86</v>
      </c>
    </row>
    <row r="17" spans="1:7" x14ac:dyDescent="0.5">
      <c r="A17" s="63" t="s">
        <v>87</v>
      </c>
      <c r="B17" s="91">
        <f>'12.5 Pct'!C10</f>
        <v>162.5</v>
      </c>
      <c r="C17" s="90" t="s">
        <v>126</v>
      </c>
    </row>
    <row r="18" spans="1:7" x14ac:dyDescent="0.5">
      <c r="A18" s="63" t="s">
        <v>88</v>
      </c>
      <c r="B18" s="63">
        <f>'12.5 Pct'!C51</f>
        <v>175</v>
      </c>
      <c r="C18" s="236" t="s">
        <v>203</v>
      </c>
    </row>
    <row r="19" spans="1:7" x14ac:dyDescent="0.5">
      <c r="A19" s="63" t="s">
        <v>103</v>
      </c>
      <c r="B19" s="89">
        <v>1150</v>
      </c>
      <c r="C19" s="90" t="s">
        <v>122</v>
      </c>
    </row>
    <row r="20" spans="1:7" x14ac:dyDescent="0.5">
      <c r="A20" s="63" t="s">
        <v>110</v>
      </c>
      <c r="B20" s="89">
        <v>-14</v>
      </c>
      <c r="C20" s="90" t="s">
        <v>121</v>
      </c>
    </row>
    <row r="21" spans="1:7" x14ac:dyDescent="0.5">
      <c r="A21" s="63" t="s">
        <v>104</v>
      </c>
      <c r="B21" s="63">
        <f>((B17/B18)*B19)+B20</f>
        <v>1053.8571428571429</v>
      </c>
      <c r="C21" s="65" t="s">
        <v>109</v>
      </c>
    </row>
    <row r="22" spans="1:7" x14ac:dyDescent="0.5">
      <c r="A22" s="93" t="s">
        <v>136</v>
      </c>
      <c r="B22" s="65" t="str">
        <f>TEXT('Design Impeller from Largest'!B15,"##.000")&amp;" inch impeller at "&amp;TEXT('12.5 Pct Speed Estimate Tweak'!B21,"#,###")&amp;" rpm from the affinity law, adjusted to go through the operating point"</f>
        <v>13.195 inch impeller at 1,054 rpm from the affinity law, adjusted to go through the operating point</v>
      </c>
      <c r="C22" s="65"/>
    </row>
    <row r="23" spans="1:7" x14ac:dyDescent="0.5">
      <c r="A23" s="58" t="s">
        <v>105</v>
      </c>
      <c r="B23" s="59"/>
      <c r="C23" s="59"/>
      <c r="D23" s="59"/>
      <c r="E23" s="59"/>
      <c r="F23" s="60"/>
      <c r="G23" s="60"/>
    </row>
    <row r="24" spans="1:7" x14ac:dyDescent="0.5">
      <c r="A24" s="61" t="s">
        <v>79</v>
      </c>
    </row>
    <row r="34" spans="1:7" x14ac:dyDescent="0.5">
      <c r="A34" s="63" t="s">
        <v>103</v>
      </c>
      <c r="B34" s="63">
        <f>B19</f>
        <v>1150</v>
      </c>
      <c r="C34" s="65" t="s">
        <v>107</v>
      </c>
    </row>
    <row r="35" spans="1:7" x14ac:dyDescent="0.5">
      <c r="A35" s="63" t="s">
        <v>104</v>
      </c>
      <c r="B35" s="63">
        <f>B21</f>
        <v>1053.8571428571429</v>
      </c>
      <c r="C35" s="65" t="s">
        <v>108</v>
      </c>
    </row>
    <row r="36" spans="1:7" x14ac:dyDescent="0.5">
      <c r="A36" s="63"/>
      <c r="B36" s="66"/>
    </row>
    <row r="37" spans="1:7" ht="66.7" x14ac:dyDescent="0.5">
      <c r="B37" s="67" t="str">
        <f>TEXT(B34,"#,###")&amp;" rpm Impeller Flow, gpm (Known value from previous calculation)"</f>
        <v>1,150 rpm Impeller Flow, gpm (Known value from previous calculation)</v>
      </c>
      <c r="C37" s="67" t="str">
        <f>TEXT(B35,"#,###")&amp;" rpm Impeller Flow, gpm (Calculated with the affinity law)"</f>
        <v>1,054 rpm Impeller Flow, gpm (Calculated with the affinity law)</v>
      </c>
    </row>
    <row r="38" spans="1:7" x14ac:dyDescent="0.5">
      <c r="B38" s="70">
        <v>1.0000000000000001E-9</v>
      </c>
      <c r="C38" s="62">
        <f>B38*($B$35/$B$34)</f>
        <v>9.1639751552795036E-10</v>
      </c>
      <c r="D38" s="61" t="s">
        <v>83</v>
      </c>
    </row>
    <row r="39" spans="1:7" s="62" customFormat="1" x14ac:dyDescent="0.5">
      <c r="A39" s="61"/>
      <c r="B39" s="62">
        <f>'Impeller 6G 1150'!O10</f>
        <v>101.038</v>
      </c>
      <c r="C39" s="62">
        <f t="shared" ref="C39:C61" si="0">B39*($B$35/$B$34)</f>
        <v>92.590972173913045</v>
      </c>
      <c r="F39" s="61"/>
      <c r="G39" s="61"/>
    </row>
    <row r="40" spans="1:7" s="62" customFormat="1" x14ac:dyDescent="0.5">
      <c r="A40" s="61"/>
      <c r="B40" s="62">
        <f>'Impeller 6G 1150'!O11</f>
        <v>202.07599999999999</v>
      </c>
      <c r="C40" s="62">
        <f t="shared" si="0"/>
        <v>185.18194434782609</v>
      </c>
      <c r="F40" s="61"/>
      <c r="G40" s="61"/>
    </row>
    <row r="41" spans="1:7" s="62" customFormat="1" x14ac:dyDescent="0.5">
      <c r="A41" s="61"/>
      <c r="B41" s="62">
        <f>'Impeller 6G 1150'!O12</f>
        <v>301.73</v>
      </c>
      <c r="C41" s="62">
        <f t="shared" si="0"/>
        <v>276.50462236024845</v>
      </c>
      <c r="F41" s="61"/>
      <c r="G41" s="61"/>
    </row>
    <row r="42" spans="1:7" s="62" customFormat="1" x14ac:dyDescent="0.5">
      <c r="A42" s="61"/>
      <c r="B42" s="62">
        <f>'Impeller 6G 1150'!O13</f>
        <v>401.38400000000001</v>
      </c>
      <c r="C42" s="62">
        <f t="shared" si="0"/>
        <v>367.82730037267083</v>
      </c>
      <c r="F42" s="61"/>
      <c r="G42" s="61"/>
    </row>
    <row r="43" spans="1:7" s="62" customFormat="1" x14ac:dyDescent="0.5">
      <c r="A43" s="61"/>
      <c r="B43" s="62">
        <f>'Impeller 6G 1150'!O14</f>
        <v>502.42200000000003</v>
      </c>
      <c r="C43" s="62">
        <f t="shared" si="0"/>
        <v>460.41827254658386</v>
      </c>
      <c r="F43" s="61"/>
      <c r="G43" s="61"/>
    </row>
    <row r="44" spans="1:7" s="62" customFormat="1" x14ac:dyDescent="0.5">
      <c r="A44" s="61"/>
      <c r="B44" s="62">
        <f>'Impeller 6G 1150'!O15</f>
        <v>602.07600000000002</v>
      </c>
      <c r="C44" s="62">
        <f t="shared" si="0"/>
        <v>551.74095055900625</v>
      </c>
      <c r="F44" s="61"/>
      <c r="G44" s="61"/>
    </row>
    <row r="45" spans="1:7" s="62" customFormat="1" x14ac:dyDescent="0.5">
      <c r="A45" s="61"/>
      <c r="B45" s="62">
        <f>'Impeller 6G 1150'!O16</f>
        <v>703.11400000000003</v>
      </c>
      <c r="C45" s="62">
        <f t="shared" si="0"/>
        <v>644.33192273291934</v>
      </c>
      <c r="F45" s="61"/>
      <c r="G45" s="61"/>
    </row>
    <row r="46" spans="1:7" s="62" customFormat="1" x14ac:dyDescent="0.5">
      <c r="A46" s="61"/>
      <c r="B46" s="62">
        <f>'Impeller 6G 1150'!O17</f>
        <v>801.38400000000001</v>
      </c>
      <c r="C46" s="62">
        <f t="shared" si="0"/>
        <v>734.38630658385102</v>
      </c>
      <c r="F46" s="61"/>
      <c r="G46" s="61"/>
    </row>
    <row r="47" spans="1:7" s="62" customFormat="1" x14ac:dyDescent="0.5">
      <c r="A47" s="61"/>
      <c r="B47" s="62">
        <f>'Impeller 6G 1150'!O18</f>
        <v>903.80600000000004</v>
      </c>
      <c r="C47" s="62">
        <f t="shared" si="0"/>
        <v>828.24557291925476</v>
      </c>
      <c r="F47" s="61"/>
      <c r="G47" s="61"/>
    </row>
    <row r="48" spans="1:7" s="62" customFormat="1" x14ac:dyDescent="0.5">
      <c r="A48" s="61"/>
      <c r="B48" s="62">
        <f>'Impeller 6G 1150'!O19</f>
        <v>999.30799999999999</v>
      </c>
      <c r="C48" s="62">
        <f t="shared" si="0"/>
        <v>915.76336844720504</v>
      </c>
      <c r="F48" s="61"/>
      <c r="G48" s="61"/>
    </row>
    <row r="49" spans="1:7" s="62" customFormat="1" x14ac:dyDescent="0.5">
      <c r="A49" s="61"/>
      <c r="B49" s="62">
        <f>'Impeller 6G 1150'!O20</f>
        <v>1101.73</v>
      </c>
      <c r="C49" s="62">
        <f t="shared" si="0"/>
        <v>1009.6226347826088</v>
      </c>
      <c r="F49" s="61"/>
      <c r="G49" s="61"/>
    </row>
    <row r="50" spans="1:7" s="62" customFormat="1" x14ac:dyDescent="0.5">
      <c r="A50" s="61"/>
      <c r="B50" s="62">
        <f>'Impeller 6G 1150'!O21</f>
        <v>1201.3800000000001</v>
      </c>
      <c r="C50" s="62">
        <f t="shared" si="0"/>
        <v>1100.9416472049691</v>
      </c>
      <c r="F50" s="61"/>
      <c r="G50" s="61"/>
    </row>
    <row r="51" spans="1:7" s="62" customFormat="1" x14ac:dyDescent="0.5">
      <c r="A51" s="61"/>
      <c r="B51" s="62">
        <f>'Impeller 6G 1150'!O22</f>
        <v>1302.42</v>
      </c>
      <c r="C51" s="62">
        <f t="shared" si="0"/>
        <v>1193.5344521739132</v>
      </c>
      <c r="F51" s="61"/>
      <c r="G51" s="61"/>
    </row>
    <row r="52" spans="1:7" s="62" customFormat="1" x14ac:dyDescent="0.5">
      <c r="A52" s="61"/>
      <c r="B52" s="62">
        <f>'Impeller 6G 1150'!O23</f>
        <v>1402.08</v>
      </c>
      <c r="C52" s="62">
        <f t="shared" si="0"/>
        <v>1284.8626285714286</v>
      </c>
      <c r="F52" s="61"/>
      <c r="G52" s="61"/>
    </row>
    <row r="53" spans="1:7" s="62" customFormat="1" x14ac:dyDescent="0.5">
      <c r="A53" s="61"/>
      <c r="B53" s="62">
        <f>'Impeller 6G 1150'!O24</f>
        <v>1501.73</v>
      </c>
      <c r="C53" s="62">
        <f t="shared" si="0"/>
        <v>1376.181640993789</v>
      </c>
      <c r="F53" s="61"/>
      <c r="G53" s="61"/>
    </row>
    <row r="54" spans="1:7" s="62" customFormat="1" x14ac:dyDescent="0.5">
      <c r="A54" s="61"/>
      <c r="B54" s="62">
        <f>'Impeller 6G 1150'!O25</f>
        <v>1600</v>
      </c>
      <c r="C54" s="62">
        <f t="shared" si="0"/>
        <v>1466.2360248447205</v>
      </c>
      <c r="F54" s="61"/>
      <c r="G54" s="61"/>
    </row>
    <row r="55" spans="1:7" x14ac:dyDescent="0.5">
      <c r="B55" s="62">
        <f>'Impeller 6G 1150'!O26</f>
        <v>1647.06</v>
      </c>
      <c r="C55" s="62">
        <f t="shared" si="0"/>
        <v>1509.3616919254659</v>
      </c>
    </row>
    <row r="56" spans="1:7" x14ac:dyDescent="0.5">
      <c r="B56" s="62">
        <f>'Impeller 6G 1150'!O27</f>
        <v>1699.65</v>
      </c>
      <c r="C56" s="62">
        <f t="shared" si="0"/>
        <v>1557.5550372670809</v>
      </c>
    </row>
    <row r="57" spans="1:7" x14ac:dyDescent="0.5">
      <c r="B57" s="62">
        <f>'Impeller 6G 1150'!O28</f>
        <v>1791</v>
      </c>
      <c r="C57" s="62">
        <f t="shared" si="0"/>
        <v>1641.2679503105592</v>
      </c>
    </row>
    <row r="58" spans="1:7" x14ac:dyDescent="0.5">
      <c r="B58" s="62">
        <f>'Impeller 6G 1150'!O29</f>
        <v>1847.75</v>
      </c>
      <c r="C58" s="62">
        <f t="shared" si="0"/>
        <v>1693.2735093167703</v>
      </c>
    </row>
    <row r="59" spans="1:7" x14ac:dyDescent="0.5">
      <c r="B59" s="62">
        <f>'Impeller 6G 1150'!O30</f>
        <v>1903.11</v>
      </c>
      <c r="C59" s="62">
        <f t="shared" si="0"/>
        <v>1744.0052757763974</v>
      </c>
    </row>
    <row r="60" spans="1:7" x14ac:dyDescent="0.5">
      <c r="B60" s="62">
        <f>'Impeller 6G 1150'!O31</f>
        <v>1948.79</v>
      </c>
      <c r="C60" s="62">
        <f t="shared" si="0"/>
        <v>1785.8663142857142</v>
      </c>
    </row>
    <row r="61" spans="1:7" x14ac:dyDescent="0.5">
      <c r="B61" s="62">
        <f>'Impeller 6G 1150'!O32</f>
        <v>2013.84</v>
      </c>
      <c r="C61" s="62">
        <f t="shared" si="0"/>
        <v>1845.4779726708075</v>
      </c>
    </row>
    <row r="62" spans="1:7" x14ac:dyDescent="0.5">
      <c r="A62" s="58" t="s">
        <v>95</v>
      </c>
      <c r="B62" s="59"/>
      <c r="C62" s="59"/>
      <c r="D62" s="59"/>
      <c r="E62" s="59"/>
      <c r="F62" s="60"/>
      <c r="G62" s="60"/>
    </row>
    <row r="63" spans="1:7" x14ac:dyDescent="0.5">
      <c r="A63" s="61" t="s">
        <v>84</v>
      </c>
    </row>
    <row r="73" spans="2:5" s="69" customFormat="1" ht="66.7" x14ac:dyDescent="0.5">
      <c r="B73" s="67" t="str">
        <f>TEXT(B34,"#,###")&amp;" rpm Impeller Flow, gpm (Known value from previous calculation)"</f>
        <v>1,150 rpm Impeller Flow, gpm (Known value from previous calculation)</v>
      </c>
      <c r="C73" s="68" t="str">
        <f>TEXT(B35,"#,##")&amp;" rpm Impeller Flow, gpm (Calculated above)"</f>
        <v>1,054 rpm Impeller Flow, gpm (Calculated above)</v>
      </c>
      <c r="D73" s="67" t="str">
        <f>TEXT(B34,"#,##")&amp;" rpm Impeller Head, ft.w.c. (Known value from previous calculation)"</f>
        <v>1,150 rpm Impeller Head, ft.w.c. (Known value from previous calculation)</v>
      </c>
      <c r="E73" s="68" t="str">
        <f>TEXT(B35,"#,###")&amp;" rpm Impeller Head, ft.w.c. (From square law)"</f>
        <v>1,054 rpm Impeller Head, ft.w.c. (From square law)</v>
      </c>
    </row>
    <row r="74" spans="2:5" x14ac:dyDescent="0.5">
      <c r="B74" s="62">
        <f>B38</f>
        <v>1.0000000000000001E-9</v>
      </c>
      <c r="C74" s="70">
        <f>C38</f>
        <v>9.1639751552795036E-10</v>
      </c>
      <c r="D74" s="62">
        <f>'Impeller 6G 1150'!P9</f>
        <v>83.528300000000002</v>
      </c>
      <c r="E74" s="70">
        <f>D74*((C74/B74)^2)</f>
        <v>70.14576383859729</v>
      </c>
    </row>
    <row r="75" spans="2:5" x14ac:dyDescent="0.5">
      <c r="B75" s="62">
        <f>B39</f>
        <v>101.038</v>
      </c>
      <c r="C75" s="70">
        <f>C39</f>
        <v>92.590972173913045</v>
      </c>
      <c r="D75" s="62">
        <f>'Impeller 6G 1150'!P10</f>
        <v>83.625699999999995</v>
      </c>
      <c r="E75" s="70">
        <f>D75*((C75/B75)^2)</f>
        <v>70.227558839787051</v>
      </c>
    </row>
    <row r="76" spans="2:5" x14ac:dyDescent="0.5">
      <c r="B76" s="62">
        <f t="shared" ref="B76:C91" si="1">B40</f>
        <v>202.07599999999999</v>
      </c>
      <c r="C76" s="70">
        <f t="shared" si="1"/>
        <v>185.18194434782609</v>
      </c>
      <c r="D76" s="62">
        <f>'Impeller 6G 1150'!P11</f>
        <v>83.528300000000002</v>
      </c>
      <c r="E76" s="70">
        <f t="shared" ref="E76:E97" si="2">D76*((C76/B76)^2)</f>
        <v>70.14576383859729</v>
      </c>
    </row>
    <row r="77" spans="2:5" x14ac:dyDescent="0.5">
      <c r="B77" s="62">
        <f t="shared" si="1"/>
        <v>301.73</v>
      </c>
      <c r="C77" s="70">
        <f t="shared" si="1"/>
        <v>276.50462236024845</v>
      </c>
      <c r="D77" s="62">
        <f>'Impeller 6G 1150'!P12</f>
        <v>83.430800000000005</v>
      </c>
      <c r="E77" s="70">
        <f t="shared" si="2"/>
        <v>70.063884858966858</v>
      </c>
    </row>
    <row r="78" spans="2:5" x14ac:dyDescent="0.5">
      <c r="B78" s="62">
        <f t="shared" si="1"/>
        <v>401.38400000000001</v>
      </c>
      <c r="C78" s="70">
        <f t="shared" si="1"/>
        <v>367.82730037267083</v>
      </c>
      <c r="D78" s="62">
        <f>'Impeller 6G 1150'!P13</f>
        <v>83.235900000000001</v>
      </c>
      <c r="E78" s="70">
        <f t="shared" si="2"/>
        <v>69.90021087814668</v>
      </c>
    </row>
    <row r="79" spans="2:5" x14ac:dyDescent="0.5">
      <c r="B79" s="62">
        <f t="shared" si="1"/>
        <v>502.42200000000003</v>
      </c>
      <c r="C79" s="70">
        <f t="shared" si="1"/>
        <v>460.41827254658386</v>
      </c>
      <c r="D79" s="62">
        <f>'Impeller 6G 1150'!P14</f>
        <v>82.846000000000004</v>
      </c>
      <c r="E79" s="70">
        <f t="shared" si="2"/>
        <v>69.572778938065667</v>
      </c>
    </row>
    <row r="80" spans="2:5" x14ac:dyDescent="0.5">
      <c r="B80" s="62">
        <f t="shared" si="1"/>
        <v>602.07600000000002</v>
      </c>
      <c r="C80" s="70">
        <f t="shared" si="1"/>
        <v>551.74095055900625</v>
      </c>
      <c r="D80" s="62">
        <f>'Impeller 6G 1150'!P15</f>
        <v>82.456100000000006</v>
      </c>
      <c r="E80" s="70">
        <f t="shared" si="2"/>
        <v>69.245346997984655</v>
      </c>
    </row>
    <row r="81" spans="2:5" x14ac:dyDescent="0.5">
      <c r="B81" s="62">
        <f t="shared" si="1"/>
        <v>703.11400000000003</v>
      </c>
      <c r="C81" s="70">
        <f t="shared" si="1"/>
        <v>644.33192273291934</v>
      </c>
      <c r="D81" s="62">
        <f>'Impeller 6G 1150'!P16</f>
        <v>82.066299999999998</v>
      </c>
      <c r="E81" s="70">
        <f t="shared" si="2"/>
        <v>68.917999036344284</v>
      </c>
    </row>
    <row r="82" spans="2:5" x14ac:dyDescent="0.5">
      <c r="B82" s="62">
        <f t="shared" si="1"/>
        <v>801.38400000000001</v>
      </c>
      <c r="C82" s="70">
        <f t="shared" si="1"/>
        <v>734.38630658385102</v>
      </c>
      <c r="D82" s="62">
        <f>'Impeller 6G 1150'!P17</f>
        <v>81.676400000000001</v>
      </c>
      <c r="E82" s="70">
        <f t="shared" si="2"/>
        <v>68.590567096263285</v>
      </c>
    </row>
    <row r="83" spans="2:5" x14ac:dyDescent="0.5">
      <c r="B83" s="62">
        <f t="shared" si="1"/>
        <v>903.80600000000004</v>
      </c>
      <c r="C83" s="70">
        <f t="shared" si="1"/>
        <v>828.24557291925476</v>
      </c>
      <c r="D83" s="62">
        <f>'Impeller 6G 1150'!P18</f>
        <v>80.994100000000003</v>
      </c>
      <c r="E83" s="70">
        <f t="shared" si="2"/>
        <v>68.017582195731649</v>
      </c>
    </row>
    <row r="84" spans="2:5" x14ac:dyDescent="0.5">
      <c r="B84" s="62">
        <f t="shared" si="1"/>
        <v>999.30799999999999</v>
      </c>
      <c r="C84" s="70">
        <f t="shared" si="1"/>
        <v>915.76336844720504</v>
      </c>
      <c r="D84" s="62">
        <f>'Impeller 6G 1150'!P19</f>
        <v>80.019499999999994</v>
      </c>
      <c r="E84" s="70">
        <f t="shared" si="2"/>
        <v>67.199128313190073</v>
      </c>
    </row>
    <row r="85" spans="2:5" x14ac:dyDescent="0.5">
      <c r="B85" s="62">
        <f t="shared" si="1"/>
        <v>1101.73</v>
      </c>
      <c r="C85" s="70">
        <f t="shared" si="1"/>
        <v>1009.6226347826088</v>
      </c>
      <c r="D85" s="62">
        <f>'Impeller 6G 1150'!P20</f>
        <v>78.3626</v>
      </c>
      <c r="E85" s="70">
        <f t="shared" si="2"/>
        <v>65.807689530116903</v>
      </c>
    </row>
    <row r="86" spans="2:5" x14ac:dyDescent="0.5">
      <c r="B86" s="62">
        <f t="shared" si="1"/>
        <v>1201.3800000000001</v>
      </c>
      <c r="C86" s="70">
        <f t="shared" si="1"/>
        <v>1100.9416472049691</v>
      </c>
      <c r="D86" s="62">
        <f>'Impeller 6G 1150'!P21</f>
        <v>76.413300000000007</v>
      </c>
      <c r="E86" s="70">
        <f t="shared" si="2"/>
        <v>64.170697786593124</v>
      </c>
    </row>
    <row r="87" spans="2:5" x14ac:dyDescent="0.5">
      <c r="B87" s="62">
        <f t="shared" si="1"/>
        <v>1302.42</v>
      </c>
      <c r="C87" s="70">
        <f t="shared" si="1"/>
        <v>1193.5344521739132</v>
      </c>
      <c r="D87" s="62">
        <f>'Impeller 6G 1150'!P22</f>
        <v>74.074100000000001</v>
      </c>
      <c r="E87" s="70">
        <f t="shared" si="2"/>
        <v>62.206274102988317</v>
      </c>
    </row>
    <row r="88" spans="2:5" x14ac:dyDescent="0.5">
      <c r="B88" s="62">
        <f t="shared" si="1"/>
        <v>1402.08</v>
      </c>
      <c r="C88" s="70">
        <f t="shared" si="1"/>
        <v>1284.8626285714286</v>
      </c>
      <c r="D88" s="62">
        <f>'Impeller 6G 1150'!P23</f>
        <v>71.540000000000006</v>
      </c>
      <c r="E88" s="70">
        <f t="shared" si="2"/>
        <v>60.078176438563339</v>
      </c>
    </row>
    <row r="89" spans="2:5" x14ac:dyDescent="0.5">
      <c r="B89" s="62">
        <f t="shared" si="1"/>
        <v>1501.73</v>
      </c>
      <c r="C89" s="70">
        <f t="shared" si="1"/>
        <v>1376.181640993789</v>
      </c>
      <c r="D89" s="62">
        <f>'Impeller 6G 1150'!P24</f>
        <v>68.518500000000003</v>
      </c>
      <c r="E89" s="70">
        <f t="shared" si="2"/>
        <v>57.540767854426917</v>
      </c>
    </row>
    <row r="90" spans="2:5" x14ac:dyDescent="0.5">
      <c r="B90" s="62">
        <f t="shared" si="1"/>
        <v>1600</v>
      </c>
      <c r="C90" s="70">
        <f t="shared" si="1"/>
        <v>1466.2360248447205</v>
      </c>
      <c r="D90" s="62">
        <f>'Impeller 6G 1150'!P25</f>
        <v>64.619900000000001</v>
      </c>
      <c r="E90" s="70">
        <f t="shared" si="2"/>
        <v>54.266784367379351</v>
      </c>
    </row>
    <row r="91" spans="2:5" x14ac:dyDescent="0.5">
      <c r="B91" s="62">
        <f t="shared" si="1"/>
        <v>1647.06</v>
      </c>
      <c r="C91" s="70">
        <f t="shared" si="1"/>
        <v>1509.3616919254659</v>
      </c>
      <c r="D91" s="62">
        <f>'Impeller 6G 1150'!P26</f>
        <v>62.4756</v>
      </c>
      <c r="E91" s="70">
        <f t="shared" si="2"/>
        <v>52.466034664594751</v>
      </c>
    </row>
    <row r="92" spans="2:5" x14ac:dyDescent="0.5">
      <c r="B92" s="62">
        <f t="shared" ref="B92:C97" si="3">B56</f>
        <v>1699.65</v>
      </c>
      <c r="C92" s="70">
        <f t="shared" si="3"/>
        <v>1557.5550372670809</v>
      </c>
      <c r="D92" s="62">
        <f>'Impeller 6G 1150'!P27</f>
        <v>60.039000000000001</v>
      </c>
      <c r="E92" s="70">
        <f t="shared" si="2"/>
        <v>50.41981597980017</v>
      </c>
    </row>
    <row r="93" spans="2:5" x14ac:dyDescent="0.5">
      <c r="B93" s="62">
        <f t="shared" si="3"/>
        <v>1791</v>
      </c>
      <c r="C93" s="70">
        <f t="shared" si="3"/>
        <v>1641.2679503105592</v>
      </c>
      <c r="D93" s="62">
        <f>'Impeller 6G 1150'!P28</f>
        <v>55.165700000000001</v>
      </c>
      <c r="E93" s="70">
        <f t="shared" si="2"/>
        <v>46.327294631770393</v>
      </c>
    </row>
    <row r="94" spans="2:5" x14ac:dyDescent="0.5">
      <c r="B94" s="62">
        <f t="shared" si="3"/>
        <v>1847.75</v>
      </c>
      <c r="C94" s="70">
        <f t="shared" si="3"/>
        <v>1693.2735093167703</v>
      </c>
      <c r="D94" s="62">
        <f>'Impeller 6G 1150'!P29</f>
        <v>51.3645</v>
      </c>
      <c r="E94" s="70">
        <f t="shared" si="2"/>
        <v>43.13510614591258</v>
      </c>
    </row>
    <row r="95" spans="2:5" x14ac:dyDescent="0.5">
      <c r="B95" s="62">
        <f t="shared" si="3"/>
        <v>1903.11</v>
      </c>
      <c r="C95" s="70">
        <f t="shared" si="3"/>
        <v>1744.0052757763974</v>
      </c>
      <c r="D95" s="62">
        <f>'Impeller 6G 1150'!P30</f>
        <v>47.368400000000001</v>
      </c>
      <c r="E95" s="70">
        <f t="shared" si="2"/>
        <v>39.779243679234604</v>
      </c>
    </row>
    <row r="96" spans="2:5" x14ac:dyDescent="0.5">
      <c r="B96" s="62">
        <f t="shared" si="3"/>
        <v>1948.79</v>
      </c>
      <c r="C96" s="70">
        <f t="shared" si="3"/>
        <v>1785.8663142857142</v>
      </c>
      <c r="D96" s="62">
        <f>'Impeller 6G 1150'!P31</f>
        <v>43.8596</v>
      </c>
      <c r="E96" s="70">
        <f t="shared" si="2"/>
        <v>36.832608153827401</v>
      </c>
    </row>
    <row r="97" spans="1:7" x14ac:dyDescent="0.5">
      <c r="B97" s="62">
        <f t="shared" si="3"/>
        <v>2013.84</v>
      </c>
      <c r="C97" s="70">
        <f t="shared" si="3"/>
        <v>1845.4779726708075</v>
      </c>
      <c r="D97" s="62">
        <f>'Impeller 6G 1150'!P32</f>
        <v>38.401600000000002</v>
      </c>
      <c r="E97" s="70">
        <f t="shared" si="2"/>
        <v>32.249064863337068</v>
      </c>
    </row>
    <row r="98" spans="1:7" x14ac:dyDescent="0.5">
      <c r="A98" s="58" t="s">
        <v>96</v>
      </c>
      <c r="B98" s="59"/>
      <c r="C98" s="59"/>
      <c r="D98" s="59"/>
      <c r="E98" s="59"/>
      <c r="F98" s="60"/>
      <c r="G98" s="60"/>
    </row>
  </sheetData>
  <pageMargins left="0.7" right="0.7" top="0.75" bottom="0.75" header="0.3" footer="0.3"/>
  <drawing r:id="rId1"/>
  <legacyDrawing r:id="rId2"/>
  <oleObjects>
    <mc:AlternateContent xmlns:mc="http://schemas.openxmlformats.org/markup-compatibility/2006">
      <mc:Choice Requires="x14">
        <oleObject progId="Equation.DSMT4" shapeId="67585" r:id="rId3">
          <objectPr defaultSize="0" autoPict="0" r:id="rId4">
            <anchor moveWithCells="1">
              <from>
                <xdr:col>0</xdr:col>
                <xdr:colOff>0</xdr:colOff>
                <xdr:row>63</xdr:row>
                <xdr:rowOff>160867</xdr:rowOff>
              </from>
              <to>
                <xdr:col>2</xdr:col>
                <xdr:colOff>1134533</xdr:colOff>
                <xdr:row>71</xdr:row>
                <xdr:rowOff>122767</xdr:rowOff>
              </to>
            </anchor>
          </objectPr>
        </oleObject>
      </mc:Choice>
      <mc:Fallback>
        <oleObject progId="Equation.DSMT4" shapeId="67585" r:id="rId3"/>
      </mc:Fallback>
    </mc:AlternateContent>
    <mc:AlternateContent xmlns:mc="http://schemas.openxmlformats.org/markup-compatibility/2006">
      <mc:Choice Requires="x14">
        <oleObject progId="Equation.DSMT4" shapeId="67586" r:id="rId5">
          <objectPr defaultSize="0" autoPict="0" r:id="rId6">
            <anchor moveWithCells="1">
              <from>
                <xdr:col>0</xdr:col>
                <xdr:colOff>0</xdr:colOff>
                <xdr:row>2</xdr:row>
                <xdr:rowOff>0</xdr:rowOff>
              </from>
              <to>
                <xdr:col>3</xdr:col>
                <xdr:colOff>1087967</xdr:colOff>
                <xdr:row>15</xdr:row>
                <xdr:rowOff>8467</xdr:rowOff>
              </to>
            </anchor>
          </objectPr>
        </oleObject>
      </mc:Choice>
      <mc:Fallback>
        <oleObject progId="Equation.DSMT4" shapeId="67586" r:id="rId5"/>
      </mc:Fallback>
    </mc:AlternateContent>
    <mc:AlternateContent xmlns:mc="http://schemas.openxmlformats.org/markup-compatibility/2006">
      <mc:Choice Requires="x14">
        <oleObject progId="Equation.DSMT4" shapeId="67587" r:id="rId7">
          <objectPr defaultSize="0" autoPict="0" r:id="rId8">
            <anchor moveWithCells="1">
              <from>
                <xdr:col>0</xdr:col>
                <xdr:colOff>0</xdr:colOff>
                <xdr:row>24</xdr:row>
                <xdr:rowOff>0</xdr:rowOff>
              </from>
              <to>
                <xdr:col>3</xdr:col>
                <xdr:colOff>1066800</xdr:colOff>
                <xdr:row>32</xdr:row>
                <xdr:rowOff>67733</xdr:rowOff>
              </to>
            </anchor>
          </objectPr>
        </oleObject>
      </mc:Choice>
      <mc:Fallback>
        <oleObject progId="Equation.DSMT4" shapeId="67587" r:id="rId7"/>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25"/>
  <sheetViews>
    <sheetView workbookViewId="0"/>
  </sheetViews>
  <sheetFormatPr defaultColWidth="9.1171875" defaultRowHeight="18.7" x14ac:dyDescent="0.5"/>
  <cols>
    <col min="1" max="14" width="15.703125" style="99" customWidth="1"/>
    <col min="15" max="16384" width="9.1171875" style="99"/>
  </cols>
  <sheetData>
    <row r="1" spans="1:14" x14ac:dyDescent="0.5">
      <c r="A1" s="98"/>
      <c r="B1" s="237" t="s">
        <v>139</v>
      </c>
      <c r="C1" s="237"/>
      <c r="D1" s="237"/>
      <c r="E1" s="237"/>
      <c r="F1" s="237"/>
      <c r="G1" s="237"/>
      <c r="H1" s="237"/>
      <c r="I1" s="237"/>
      <c r="J1" s="98"/>
    </row>
    <row r="2" spans="1:14" x14ac:dyDescent="0.5">
      <c r="A2" s="100"/>
      <c r="B2" s="237" t="s">
        <v>140</v>
      </c>
      <c r="C2" s="237"/>
      <c r="D2" s="237"/>
      <c r="E2" s="237"/>
      <c r="F2" s="237"/>
      <c r="G2" s="237"/>
      <c r="H2" s="237"/>
      <c r="I2" s="237"/>
      <c r="J2" s="100"/>
    </row>
    <row r="3" spans="1:14" x14ac:dyDescent="0.5">
      <c r="A3" s="101"/>
      <c r="B3" s="237" t="s">
        <v>141</v>
      </c>
      <c r="C3" s="237"/>
      <c r="D3" s="237"/>
      <c r="E3" s="237"/>
      <c r="F3" s="237"/>
      <c r="G3" s="237"/>
      <c r="H3" s="237"/>
      <c r="I3" s="237"/>
      <c r="J3" s="101"/>
    </row>
    <row r="4" spans="1:14" x14ac:dyDescent="0.5">
      <c r="A4" s="102"/>
      <c r="B4" s="237" t="s">
        <v>142</v>
      </c>
      <c r="C4" s="237"/>
      <c r="D4" s="237"/>
      <c r="E4" s="237"/>
      <c r="F4" s="237"/>
      <c r="G4" s="237"/>
      <c r="H4" s="237"/>
      <c r="I4" s="237"/>
      <c r="J4" s="102"/>
    </row>
    <row r="5" spans="1:14" x14ac:dyDescent="0.5">
      <c r="A5" s="103"/>
      <c r="B5" s="237" t="s">
        <v>143</v>
      </c>
      <c r="C5" s="237"/>
      <c r="D5" s="237"/>
      <c r="E5" s="237"/>
      <c r="F5" s="237"/>
      <c r="G5" s="237"/>
      <c r="H5" s="237"/>
      <c r="I5" s="237"/>
      <c r="J5" s="103"/>
    </row>
    <row r="6" spans="1:14" x14ac:dyDescent="0.5">
      <c r="A6" s="104"/>
      <c r="B6" s="237" t="s">
        <v>144</v>
      </c>
      <c r="C6" s="237"/>
      <c r="D6" s="237"/>
      <c r="E6" s="237"/>
      <c r="F6" s="237"/>
      <c r="G6" s="237"/>
      <c r="H6" s="237"/>
      <c r="I6" s="237"/>
      <c r="J6" s="104"/>
    </row>
    <row r="7" spans="1:14" x14ac:dyDescent="0.5">
      <c r="A7" s="105"/>
      <c r="B7" s="237" t="s">
        <v>146</v>
      </c>
      <c r="C7" s="237"/>
      <c r="D7" s="237"/>
      <c r="E7" s="237"/>
      <c r="F7" s="237"/>
      <c r="G7" s="237"/>
      <c r="H7" s="237"/>
      <c r="I7" s="237"/>
      <c r="J7" s="105"/>
    </row>
    <row r="8" spans="1:14" s="235" customFormat="1" ht="39.950000000000003" customHeight="1" x14ac:dyDescent="0.5">
      <c r="A8" s="241" t="s">
        <v>201</v>
      </c>
      <c r="B8" s="241"/>
      <c r="C8" s="241"/>
      <c r="D8" s="241"/>
      <c r="E8" s="241"/>
      <c r="F8" s="241"/>
      <c r="G8" s="241"/>
      <c r="H8" s="241"/>
      <c r="I8" s="241"/>
      <c r="J8" s="241"/>
      <c r="K8" s="241"/>
      <c r="L8" s="241"/>
      <c r="M8" s="241"/>
    </row>
    <row r="9" spans="1:14" x14ac:dyDescent="0.5">
      <c r="A9" s="242" t="s">
        <v>145</v>
      </c>
      <c r="B9" s="242"/>
      <c r="C9" s="242"/>
      <c r="D9" s="242"/>
      <c r="E9" s="242"/>
      <c r="F9" s="242"/>
      <c r="G9" s="242"/>
      <c r="H9" s="242"/>
      <c r="I9" s="242"/>
      <c r="J9" s="242"/>
      <c r="K9" s="242"/>
      <c r="L9" s="242"/>
      <c r="M9" s="242"/>
      <c r="N9" s="242"/>
    </row>
    <row r="10" spans="1:14" s="107" customFormat="1" ht="38.700000000000003" x14ac:dyDescent="0.5">
      <c r="A10" s="217" t="s">
        <v>147</v>
      </c>
      <c r="B10" s="218" t="s">
        <v>148</v>
      </c>
      <c r="C10" s="219" t="s">
        <v>149</v>
      </c>
      <c r="D10" s="218" t="s">
        <v>150</v>
      </c>
      <c r="E10" s="219" t="s">
        <v>151</v>
      </c>
      <c r="F10" s="218" t="s">
        <v>152</v>
      </c>
      <c r="G10" s="219" t="s">
        <v>153</v>
      </c>
      <c r="H10" s="218" t="s">
        <v>154</v>
      </c>
      <c r="I10" s="220" t="s">
        <v>196</v>
      </c>
      <c r="J10" s="218" t="s">
        <v>197</v>
      </c>
      <c r="K10" s="220" t="s">
        <v>198</v>
      </c>
      <c r="L10" s="218" t="s">
        <v>200</v>
      </c>
      <c r="M10" s="220" t="s">
        <v>199</v>
      </c>
      <c r="N10" s="218" t="s">
        <v>202</v>
      </c>
    </row>
    <row r="11" spans="1:14" x14ac:dyDescent="0.5">
      <c r="A11" s="221" t="s">
        <v>155</v>
      </c>
      <c r="B11" s="222">
        <f>'Design Point System Curve'!C10</f>
        <v>1300</v>
      </c>
      <c r="C11" s="223">
        <f>'Design Point System Curve'!C11</f>
        <v>70</v>
      </c>
      <c r="D11" s="224">
        <f>'Design Point System Curve'!C19</f>
        <v>1150</v>
      </c>
      <c r="E11" s="225">
        <f>'Design Point System Curve'!C14</f>
        <v>0.86899999999999999</v>
      </c>
      <c r="F11" s="222">
        <f>'Design Point System Curve'!C15</f>
        <v>26.443956248329091</v>
      </c>
      <c r="G11" s="226">
        <f>IF(F11&gt;2.25904,(-0.000002728822435967*((F11)^4))+( 0.000200122795541598*((F11)^3))-(0.00530280440572924*((F11)^2))+( 0.0599480739940319*F11)+0.693805751057376,0.211182465802815*LN(F11)+0.63594805274788)</f>
        <v>0.93715702330283002</v>
      </c>
      <c r="H11" s="226">
        <f>IF(F11/G11&gt;3.75,(-3.80965434349997E-06*((F11/G11)^4))+(0.000283124239357158*((F11/G11)^3))-(0.00738946953923258*((F11/G11)^2))+(0.0811654961599903*F11/G11)+0.626913821114744, 0.113590215146375*(F11/G11)+0.41547669672974)</f>
        <v>0.97937390649614309</v>
      </c>
      <c r="I11" s="227">
        <f>F11/(G11*H11)</f>
        <v>28.811477937894345</v>
      </c>
      <c r="J11" s="222">
        <f>I11</f>
        <v>28.811477937894345</v>
      </c>
      <c r="K11" s="227">
        <f>I11</f>
        <v>28.811477937894345</v>
      </c>
      <c r="L11" s="222">
        <f>K11</f>
        <v>28.811477937894345</v>
      </c>
      <c r="M11" s="227">
        <f>K11</f>
        <v>28.811477937894345</v>
      </c>
      <c r="N11" s="222">
        <f>C11</f>
        <v>70</v>
      </c>
    </row>
    <row r="12" spans="1:14" x14ac:dyDescent="0.5">
      <c r="A12" s="228">
        <v>0.75</v>
      </c>
      <c r="B12" s="229">
        <f>'75 Pct'!C10</f>
        <v>975</v>
      </c>
      <c r="C12" s="230">
        <f>'75 Pct'!C11</f>
        <v>70</v>
      </c>
      <c r="D12" s="231">
        <f>'75 Pct Speed Estimate Tweak'!B21</f>
        <v>1080.6798029556651</v>
      </c>
      <c r="E12" s="232">
        <f>'75 Pct'!C14</f>
        <v>0.83499999999999996</v>
      </c>
      <c r="F12" s="229">
        <f>'75 Pct'!C15</f>
        <v>20.640537107602977</v>
      </c>
      <c r="G12" s="233">
        <f t="shared" ref="G12:G15" si="0">IF(F12&gt;2.25904,(-0.000002728822435967*((F12)^4))+( 0.000200122795541598*((F12)^3))-(0.00530280440572924*((F12)^2))+( 0.0599480739940319*F12)+0.693805751057376,0.211182465802815*LN(F12)+0.63594805274788)</f>
        <v>0.93649811274586614</v>
      </c>
      <c r="H12" s="233">
        <f t="shared" ref="H12:H15" si="1">IF(F12/G12&gt;3.75,(-3.80965434349997E-06*((F12/G12)^4))+(0.000283124239357158*((F12/G12)^3))-(0.00738946953923258*((F12/G12)^2))+(0.0811654961599903*F12/G12)+0.626913821114744, 0.113590215146375*(F12/G12)+0.41547669672974)</f>
        <v>0.95851955895657714</v>
      </c>
      <c r="I12" s="234">
        <f t="shared" ref="I12:I15" si="2">F12/(G12*H12)</f>
        <v>22.993924897730487</v>
      </c>
      <c r="J12" s="229">
        <f>$I$11*((B12/$B$11)^3)</f>
        <v>12.154842255049177</v>
      </c>
      <c r="K12" s="234">
        <f>$I$11*((B12/$B$11)^2.4)</f>
        <v>14.444834453359803</v>
      </c>
      <c r="L12" s="229">
        <f>$I$11*((B12/$B$11)^2)</f>
        <v>16.206456340065568</v>
      </c>
      <c r="M12" s="234">
        <f>$I$11*((B12/$B$11)^1.5)</f>
        <v>18.713603861093549</v>
      </c>
      <c r="N12" s="229">
        <f>(($C$11-70)*((B12/$B$11)^2))+70</f>
        <v>70</v>
      </c>
    </row>
    <row r="13" spans="1:14" x14ac:dyDescent="0.5">
      <c r="A13" s="221">
        <v>0.5</v>
      </c>
      <c r="B13" s="222">
        <f>'50 Pct'!C10</f>
        <v>650</v>
      </c>
      <c r="C13" s="223">
        <f>'50 Pct'!C11</f>
        <v>70</v>
      </c>
      <c r="D13" s="224">
        <f>'50 Pct Speed Estimate Tweak'!B21</f>
        <v>1063.0640465793304</v>
      </c>
      <c r="E13" s="225">
        <f>'50 Pct'!C14</f>
        <v>0.72</v>
      </c>
      <c r="F13" s="222">
        <f>'50 Pct'!C15</f>
        <v>15.958193041526377</v>
      </c>
      <c r="G13" s="226">
        <f t="shared" si="0"/>
        <v>0.93635568592099205</v>
      </c>
      <c r="H13" s="226">
        <f t="shared" si="1"/>
        <v>0.9439971305044752</v>
      </c>
      <c r="I13" s="227">
        <f t="shared" si="2"/>
        <v>18.053948035436093</v>
      </c>
      <c r="J13" s="222">
        <f>$I$11*((B13/$B$11)^3)</f>
        <v>3.6014347422367932</v>
      </c>
      <c r="K13" s="227">
        <f>$I$11*((B13/$B$11)^2.4)</f>
        <v>5.4587543020144125</v>
      </c>
      <c r="L13" s="222">
        <f t="shared" ref="L13:L15" si="3">$I$11*((B13/$B$11)^2)</f>
        <v>7.2028694844735863</v>
      </c>
      <c r="M13" s="227">
        <f t="shared" ref="M13:M15" si="4">$I$11*((B13/$B$11)^1.5)</f>
        <v>10.186395712945849</v>
      </c>
      <c r="N13" s="222">
        <f t="shared" ref="N13:N15" si="5">(($C$11-70)*((B13/$B$11)^2))+70</f>
        <v>70</v>
      </c>
    </row>
    <row r="14" spans="1:14" x14ac:dyDescent="0.5">
      <c r="A14" s="228">
        <v>0.25</v>
      </c>
      <c r="B14" s="229">
        <f>'25 Pct '!C10</f>
        <v>325</v>
      </c>
      <c r="C14" s="230">
        <f>'25 Pct '!C11</f>
        <v>70</v>
      </c>
      <c r="D14" s="231">
        <f>'25 Pct Speed Estimate Tweak'!B21</f>
        <v>1054.8571428571429</v>
      </c>
      <c r="E14" s="232">
        <f>'25 Pct '!C14</f>
        <v>0.5</v>
      </c>
      <c r="F14" s="229">
        <f>'25 Pct '!C15</f>
        <v>11.48989898989899</v>
      </c>
      <c r="G14" s="233">
        <f t="shared" si="0"/>
        <v>0.93853924948873979</v>
      </c>
      <c r="H14" s="233">
        <f t="shared" si="1"/>
        <v>0.94698104297428776</v>
      </c>
      <c r="I14" s="234">
        <f t="shared" si="2"/>
        <v>12.927736338780623</v>
      </c>
      <c r="J14" s="229">
        <f>$I$11*((B14/$B$11)^3)</f>
        <v>0.45017934277959915</v>
      </c>
      <c r="K14" s="234">
        <f>$I$11*((B14/$B$11)^2.4)</f>
        <v>1.0342405410091438</v>
      </c>
      <c r="L14" s="229">
        <f t="shared" si="3"/>
        <v>1.8007173711183966</v>
      </c>
      <c r="M14" s="234">
        <f t="shared" si="4"/>
        <v>3.6014347422367941</v>
      </c>
      <c r="N14" s="229">
        <f t="shared" si="5"/>
        <v>70</v>
      </c>
    </row>
    <row r="15" spans="1:14" x14ac:dyDescent="0.5">
      <c r="A15" s="221">
        <v>0.125</v>
      </c>
      <c r="B15" s="222">
        <f>'12.5 Pct'!C10</f>
        <v>162.5</v>
      </c>
      <c r="C15" s="223">
        <f>'12.5 Pct'!C11</f>
        <v>70</v>
      </c>
      <c r="D15" s="224">
        <f>'12.5 Pct Speed Estimate Tweak'!B21</f>
        <v>1053.8571428571429</v>
      </c>
      <c r="E15" s="225">
        <f>'12.5 Pct'!C14</f>
        <v>0.3</v>
      </c>
      <c r="F15" s="222">
        <f>'12.5 Pct'!C15</f>
        <v>9.5749158249158253</v>
      </c>
      <c r="G15" s="226">
        <f t="shared" si="0"/>
        <v>0.93438333225737424</v>
      </c>
      <c r="H15" s="226">
        <f t="shared" si="1"/>
        <v>0.94533964197002729</v>
      </c>
      <c r="I15" s="227">
        <f t="shared" si="2"/>
        <v>10.839818533742759</v>
      </c>
      <c r="J15" s="222">
        <f>$I$11*((B15/$B$11)^3)</f>
        <v>5.6272417847449893E-2</v>
      </c>
      <c r="K15" s="227">
        <f>$I$11*((B15/$B$11)^2.4)</f>
        <v>0.19595194022052953</v>
      </c>
      <c r="L15" s="222">
        <f t="shared" si="3"/>
        <v>0.45017934277959915</v>
      </c>
      <c r="M15" s="227">
        <f t="shared" si="4"/>
        <v>1.2732994641182318</v>
      </c>
      <c r="N15" s="222">
        <f t="shared" si="5"/>
        <v>70</v>
      </c>
    </row>
    <row r="16" spans="1:14" x14ac:dyDescent="0.5">
      <c r="A16" s="109"/>
      <c r="B16" s="108"/>
      <c r="C16" s="111"/>
      <c r="D16" s="108"/>
      <c r="E16" s="112"/>
      <c r="F16" s="110"/>
      <c r="G16" s="109"/>
      <c r="H16" s="109"/>
      <c r="I16" s="110"/>
    </row>
    <row r="17" spans="1:9" x14ac:dyDescent="0.5">
      <c r="A17" s="109"/>
      <c r="B17" s="108"/>
      <c r="C17" s="111"/>
      <c r="D17" s="108"/>
      <c r="E17" s="112"/>
      <c r="F17" s="110"/>
      <c r="G17" s="109"/>
      <c r="H17" s="109"/>
      <c r="I17" s="110"/>
    </row>
    <row r="18" spans="1:9" x14ac:dyDescent="0.5">
      <c r="A18" s="109"/>
      <c r="B18" s="108"/>
      <c r="C18" s="111"/>
      <c r="D18" s="108"/>
      <c r="E18" s="112"/>
      <c r="F18" s="110"/>
      <c r="G18" s="109"/>
      <c r="H18" s="109"/>
      <c r="I18" s="110"/>
    </row>
    <row r="19" spans="1:9" x14ac:dyDescent="0.5">
      <c r="A19" s="109"/>
      <c r="B19" s="108"/>
      <c r="C19" s="111"/>
      <c r="D19" s="108"/>
      <c r="E19" s="112"/>
      <c r="F19" s="110"/>
      <c r="G19" s="109"/>
      <c r="H19" s="109"/>
      <c r="I19" s="110"/>
    </row>
    <row r="20" spans="1:9" x14ac:dyDescent="0.5">
      <c r="A20" s="109"/>
      <c r="B20" s="108"/>
      <c r="C20" s="111"/>
      <c r="D20" s="108"/>
      <c r="E20" s="112"/>
      <c r="F20" s="110"/>
      <c r="G20" s="109"/>
      <c r="H20" s="109"/>
      <c r="I20" s="110"/>
    </row>
    <row r="21" spans="1:9" x14ac:dyDescent="0.5">
      <c r="A21" s="109"/>
      <c r="B21" s="108"/>
      <c r="C21" s="111"/>
      <c r="D21" s="108"/>
      <c r="E21" s="112"/>
      <c r="F21" s="110"/>
      <c r="G21" s="109"/>
      <c r="H21" s="109"/>
      <c r="I21" s="110"/>
    </row>
    <row r="22" spans="1:9" x14ac:dyDescent="0.5">
      <c r="A22" s="109"/>
      <c r="B22" s="108"/>
      <c r="C22" s="111"/>
      <c r="D22" s="108"/>
      <c r="E22" s="112"/>
      <c r="F22" s="110"/>
      <c r="G22" s="109"/>
      <c r="H22" s="109"/>
      <c r="I22" s="110"/>
    </row>
    <row r="23" spans="1:9" x14ac:dyDescent="0.5">
      <c r="A23" s="109"/>
      <c r="B23" s="108"/>
      <c r="C23" s="111"/>
      <c r="D23" s="108"/>
      <c r="E23" s="112"/>
      <c r="F23" s="110"/>
      <c r="G23" s="109"/>
      <c r="H23" s="109"/>
      <c r="I23" s="110"/>
    </row>
    <row r="24" spans="1:9" x14ac:dyDescent="0.5">
      <c r="A24" s="109"/>
      <c r="B24" s="108"/>
      <c r="C24" s="111"/>
      <c r="D24" s="108"/>
      <c r="E24" s="112"/>
      <c r="F24" s="110"/>
      <c r="G24" s="109"/>
      <c r="H24" s="109"/>
      <c r="I24" s="110"/>
    </row>
    <row r="25" spans="1:9" x14ac:dyDescent="0.5">
      <c r="A25" s="108"/>
      <c r="B25" s="108"/>
      <c r="C25" s="108"/>
      <c r="D25" s="108"/>
      <c r="E25" s="108"/>
      <c r="F25" s="108"/>
      <c r="G25" s="108"/>
      <c r="H25" s="108"/>
      <c r="I25" s="108"/>
    </row>
  </sheetData>
  <mergeCells count="9">
    <mergeCell ref="B6:I6"/>
    <mergeCell ref="B7:I7"/>
    <mergeCell ref="A8:M8"/>
    <mergeCell ref="A9:N9"/>
    <mergeCell ref="B1:I1"/>
    <mergeCell ref="B2:I2"/>
    <mergeCell ref="B3:I3"/>
    <mergeCell ref="B4:I4"/>
    <mergeCell ref="B5:I5"/>
  </mergeCells>
  <hyperlinks>
    <hyperlink ref="B1:H1" location="'1510 6G 1150rpm'!A1" display="Click here to go to the data used to plot the digital pump curve set"/>
    <hyperlink ref="B2:I2" location="'Design Point System Curve'!A1" display="Click here to go to the design condition tabs"/>
    <hyperlink ref="B3:I3" location="'75 Pct'!A1" display="Click here to go to the 75% load condition tabs"/>
    <hyperlink ref="B4:I4" location="'50 Pct'!A1" display="Click here to go to the 50% load condition tabs"/>
    <hyperlink ref="B5:I5" location="'25 Pct '!A1" display="Click here to go to the 25% load condition tabs"/>
    <hyperlink ref="B6:I6" location="'12.5 Pct'!A1" display="Click here to go to the 12.5% load condition tabs"/>
    <hyperlink ref="B7:I7" location="Summary!A1" display="Click here to go to the summary tab"/>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1"/>
  </sheetPr>
  <dimension ref="A1:X57"/>
  <sheetViews>
    <sheetView defaultGridColor="0" topLeftCell="B19" colorId="22" zoomScale="90" zoomScaleNormal="90" workbookViewId="0">
      <selection activeCell="D27" sqref="D27"/>
    </sheetView>
  </sheetViews>
  <sheetFormatPr defaultColWidth="15.703125" defaultRowHeight="18.7" x14ac:dyDescent="0.5"/>
  <cols>
    <col min="1" max="1" width="22.41015625" style="16" customWidth="1"/>
    <col min="2" max="2" width="29.5859375" style="17" customWidth="1"/>
    <col min="3" max="20" width="21" style="16" customWidth="1"/>
    <col min="21" max="21" width="19.5859375" style="16" customWidth="1"/>
    <col min="22" max="23" width="15.703125" style="16"/>
    <col min="24" max="25" width="21" style="16" customWidth="1"/>
    <col min="26" max="27" width="22.41015625" style="16" customWidth="1"/>
    <col min="28" max="28" width="15.703125" style="16"/>
    <col min="29" max="29" width="16.703125" style="16" customWidth="1"/>
    <col min="30" max="30" width="21" style="16" customWidth="1"/>
    <col min="31" max="16384" width="15.703125" style="16"/>
  </cols>
  <sheetData>
    <row r="1" spans="1:24" s="113" customFormat="1" ht="138.75" customHeight="1" x14ac:dyDescent="0.5">
      <c r="B1" s="114"/>
      <c r="C1" s="115"/>
    </row>
    <row r="2" spans="1:24" ht="19.5" customHeight="1" x14ac:dyDescent="0.5">
      <c r="A2" s="47" t="s">
        <v>0</v>
      </c>
      <c r="B2" s="116"/>
      <c r="C2" s="117"/>
    </row>
    <row r="3" spans="1:24" ht="19.5" customHeight="1" x14ac:dyDescent="0.5">
      <c r="A3" s="47" t="s">
        <v>1</v>
      </c>
      <c r="B3" s="116"/>
      <c r="C3" s="117"/>
    </row>
    <row r="4" spans="1:24" x14ac:dyDescent="0.5">
      <c r="A4" s="45" t="s">
        <v>2</v>
      </c>
      <c r="B4" s="118"/>
      <c r="C4" s="117"/>
      <c r="D4" s="117"/>
      <c r="E4" s="117"/>
      <c r="F4" s="117"/>
      <c r="G4" s="117"/>
      <c r="H4" s="117"/>
      <c r="I4" s="117"/>
      <c r="J4" s="117"/>
      <c r="K4" s="117"/>
      <c r="L4" s="117"/>
      <c r="M4" s="117"/>
    </row>
    <row r="5" spans="1:24" s="120" customFormat="1" x14ac:dyDescent="0.5">
      <c r="A5" s="119" t="s">
        <v>3</v>
      </c>
      <c r="B5" s="42">
        <v>42580.618595023145</v>
      </c>
      <c r="C5" s="31"/>
      <c r="D5" s="31"/>
      <c r="E5" s="31"/>
      <c r="F5" s="31"/>
      <c r="G5" s="31"/>
      <c r="H5" s="31"/>
      <c r="I5" s="31"/>
      <c r="J5" s="31"/>
      <c r="K5" s="31"/>
      <c r="L5" s="31"/>
      <c r="M5" s="31"/>
      <c r="N5" s="30"/>
      <c r="O5" s="28"/>
      <c r="P5" s="28"/>
      <c r="Q5" s="28"/>
      <c r="R5" s="28"/>
      <c r="S5" s="28"/>
      <c r="T5" s="28"/>
      <c r="U5" s="28"/>
      <c r="V5" s="29"/>
      <c r="W5" s="28"/>
      <c r="X5" s="28"/>
    </row>
    <row r="6" spans="1:24" s="120" customFormat="1" x14ac:dyDescent="0.5">
      <c r="A6" s="119" t="s">
        <v>4</v>
      </c>
      <c r="B6" s="32" t="s">
        <v>7</v>
      </c>
      <c r="C6" s="31"/>
      <c r="D6" s="31"/>
      <c r="E6" s="31"/>
      <c r="F6" s="31"/>
      <c r="G6" s="31"/>
      <c r="H6" s="31"/>
      <c r="I6" s="31"/>
      <c r="J6" s="31"/>
      <c r="K6" s="31"/>
      <c r="L6" s="31"/>
      <c r="M6" s="31"/>
      <c r="N6" s="30"/>
      <c r="O6" s="28"/>
      <c r="P6" s="28"/>
      <c r="Q6" s="28"/>
      <c r="R6" s="28"/>
      <c r="S6" s="28"/>
      <c r="T6" s="28"/>
      <c r="U6" s="28"/>
      <c r="V6" s="29"/>
      <c r="W6" s="28"/>
      <c r="X6" s="28"/>
    </row>
    <row r="7" spans="1:24" s="120" customFormat="1" x14ac:dyDescent="0.5">
      <c r="A7" s="119" t="s">
        <v>6</v>
      </c>
      <c r="B7" s="32" t="s">
        <v>7</v>
      </c>
      <c r="C7" s="31"/>
      <c r="D7" s="31"/>
      <c r="E7" s="31"/>
      <c r="F7" s="31"/>
      <c r="G7" s="31"/>
      <c r="H7" s="31"/>
      <c r="I7" s="31"/>
      <c r="J7" s="31"/>
      <c r="K7" s="31"/>
      <c r="L7" s="31"/>
      <c r="M7" s="31"/>
      <c r="N7" s="30"/>
      <c r="O7" s="28"/>
      <c r="P7" s="28"/>
      <c r="Q7" s="28"/>
      <c r="R7" s="28"/>
      <c r="S7" s="28"/>
      <c r="T7" s="28"/>
      <c r="U7" s="28"/>
      <c r="V7" s="29"/>
      <c r="W7" s="28"/>
      <c r="X7" s="28"/>
    </row>
    <row r="8" spans="1:24" s="120" customFormat="1" x14ac:dyDescent="0.5">
      <c r="A8" s="119" t="s">
        <v>8</v>
      </c>
      <c r="B8" s="32" t="s">
        <v>9</v>
      </c>
      <c r="C8" s="31"/>
      <c r="D8" s="31"/>
      <c r="E8" s="31"/>
      <c r="F8" s="31"/>
      <c r="G8" s="31"/>
      <c r="H8" s="31"/>
      <c r="I8" s="31"/>
      <c r="J8" s="31"/>
      <c r="K8" s="31"/>
      <c r="L8" s="31"/>
      <c r="M8" s="31"/>
      <c r="N8" s="30"/>
      <c r="O8" s="28"/>
      <c r="P8" s="28"/>
      <c r="Q8" s="28"/>
      <c r="R8" s="28"/>
      <c r="S8" s="28"/>
      <c r="T8" s="28"/>
      <c r="U8" s="28"/>
      <c r="V8" s="29"/>
      <c r="W8" s="28"/>
      <c r="X8" s="28"/>
    </row>
    <row r="9" spans="1:24" s="120" customFormat="1" x14ac:dyDescent="0.5">
      <c r="A9" s="121" t="s">
        <v>10</v>
      </c>
      <c r="B9" s="31"/>
      <c r="C9" s="31"/>
      <c r="D9" s="31"/>
      <c r="E9" s="31"/>
      <c r="F9" s="31"/>
      <c r="G9" s="31"/>
      <c r="H9" s="31"/>
      <c r="I9" s="31"/>
      <c r="J9" s="31"/>
      <c r="K9" s="31"/>
      <c r="L9" s="31"/>
      <c r="M9" s="31"/>
      <c r="N9" s="28"/>
      <c r="O9" s="28"/>
      <c r="P9" s="28"/>
      <c r="Q9" s="28"/>
      <c r="R9" s="28"/>
      <c r="S9" s="28"/>
      <c r="T9" s="28"/>
      <c r="U9" s="28"/>
      <c r="V9" s="29"/>
      <c r="W9" s="28"/>
      <c r="X9" s="28"/>
    </row>
    <row r="10" spans="1:24" s="120" customFormat="1" ht="39.950000000000003" customHeight="1" x14ac:dyDescent="0.5">
      <c r="A10" s="122">
        <v>1</v>
      </c>
      <c r="B10" s="243" t="s">
        <v>156</v>
      </c>
      <c r="C10" s="243"/>
      <c r="D10" s="243"/>
      <c r="E10" s="243"/>
      <c r="F10" s="243"/>
      <c r="G10" s="243"/>
      <c r="H10" s="243"/>
      <c r="I10" s="243"/>
      <c r="J10" s="243"/>
      <c r="K10" s="243"/>
      <c r="L10" s="243"/>
      <c r="M10" s="243"/>
      <c r="N10" s="243"/>
      <c r="O10" s="243"/>
      <c r="P10" s="243"/>
      <c r="Q10" s="123"/>
      <c r="R10" s="123"/>
      <c r="S10" s="123"/>
      <c r="T10" s="28"/>
      <c r="U10" s="28"/>
      <c r="V10" s="29"/>
      <c r="W10" s="28"/>
      <c r="X10" s="28"/>
    </row>
    <row r="11" spans="1:24" s="120" customFormat="1" x14ac:dyDescent="0.5">
      <c r="A11" s="122">
        <f>A10+1</f>
        <v>2</v>
      </c>
      <c r="B11" s="32" t="s">
        <v>157</v>
      </c>
      <c r="C11" s="31"/>
      <c r="D11" s="31"/>
      <c r="E11" s="31"/>
      <c r="F11" s="31"/>
      <c r="G11" s="31"/>
      <c r="H11" s="31"/>
      <c r="I11" s="31"/>
      <c r="J11" s="31"/>
      <c r="K11" s="31"/>
      <c r="L11" s="31"/>
      <c r="M11" s="31"/>
      <c r="N11" s="30"/>
      <c r="O11" s="28"/>
      <c r="P11" s="28"/>
      <c r="Q11" s="28"/>
      <c r="R11" s="28"/>
      <c r="S11" s="28"/>
      <c r="T11" s="28"/>
      <c r="U11" s="28"/>
      <c r="V11" s="29"/>
      <c r="W11" s="28"/>
      <c r="X11" s="28"/>
    </row>
    <row r="12" spans="1:24" s="120" customFormat="1" x14ac:dyDescent="0.5">
      <c r="A12" s="122">
        <f>A11+1</f>
        <v>3</v>
      </c>
      <c r="B12" s="32" t="s">
        <v>11</v>
      </c>
      <c r="C12" s="31"/>
      <c r="D12" s="31"/>
      <c r="E12" s="31"/>
      <c r="F12" s="31"/>
      <c r="G12" s="31"/>
      <c r="H12" s="31"/>
      <c r="I12" s="31"/>
      <c r="J12" s="31"/>
      <c r="K12" s="31"/>
      <c r="L12" s="31"/>
      <c r="M12" s="31"/>
      <c r="N12" s="30"/>
      <c r="O12" s="28"/>
      <c r="P12" s="28"/>
      <c r="Q12" s="28"/>
      <c r="R12" s="28"/>
      <c r="S12" s="28"/>
      <c r="T12" s="28"/>
      <c r="U12" s="28"/>
      <c r="V12" s="29"/>
      <c r="W12" s="28"/>
      <c r="X12" s="28"/>
    </row>
    <row r="13" spans="1:24" s="120" customFormat="1" x14ac:dyDescent="0.5">
      <c r="A13" s="122">
        <f>A12+1</f>
        <v>4</v>
      </c>
      <c r="B13" s="32" t="s">
        <v>11</v>
      </c>
      <c r="C13" s="31"/>
      <c r="D13" s="31"/>
      <c r="E13" s="31"/>
      <c r="F13" s="31"/>
      <c r="G13" s="31"/>
      <c r="H13" s="31"/>
      <c r="I13" s="31"/>
      <c r="J13" s="31"/>
      <c r="K13" s="31"/>
      <c r="L13" s="31"/>
      <c r="M13" s="31"/>
      <c r="N13" s="30"/>
      <c r="O13" s="28"/>
      <c r="P13" s="28"/>
      <c r="Q13" s="28"/>
      <c r="R13" s="28"/>
      <c r="S13" s="28"/>
      <c r="T13" s="28"/>
      <c r="U13" s="28"/>
      <c r="V13" s="29"/>
      <c r="W13" s="28"/>
      <c r="X13" s="28"/>
    </row>
    <row r="14" spans="1:24" s="120" customFormat="1" x14ac:dyDescent="0.5">
      <c r="A14" s="122">
        <v>5</v>
      </c>
      <c r="B14" s="32" t="s">
        <v>11</v>
      </c>
      <c r="C14" s="31"/>
      <c r="D14" s="31"/>
      <c r="E14" s="31"/>
      <c r="F14" s="31"/>
      <c r="G14" s="31"/>
      <c r="H14" s="31"/>
      <c r="I14" s="31"/>
      <c r="J14" s="31"/>
      <c r="K14" s="31"/>
      <c r="L14" s="31"/>
      <c r="M14" s="31"/>
      <c r="N14" s="30"/>
      <c r="O14" s="28"/>
      <c r="P14" s="28"/>
      <c r="Q14" s="28"/>
      <c r="R14" s="28"/>
      <c r="S14" s="28"/>
      <c r="T14" s="28"/>
      <c r="U14" s="28"/>
      <c r="V14" s="29"/>
      <c r="W14" s="28"/>
      <c r="X14" s="28"/>
    </row>
    <row r="15" spans="1:24" s="120" customFormat="1" x14ac:dyDescent="0.5">
      <c r="A15" s="122">
        <v>6</v>
      </c>
      <c r="B15" s="32" t="s">
        <v>11</v>
      </c>
      <c r="C15" s="31"/>
      <c r="D15" s="31"/>
      <c r="E15" s="31"/>
      <c r="F15" s="31"/>
      <c r="G15" s="31"/>
      <c r="H15" s="31"/>
      <c r="I15" s="31"/>
      <c r="J15" s="31"/>
      <c r="K15" s="31"/>
      <c r="L15" s="31"/>
      <c r="M15" s="31"/>
      <c r="N15" s="30"/>
      <c r="O15" s="28"/>
      <c r="P15" s="28"/>
      <c r="Q15" s="28"/>
      <c r="R15" s="28"/>
      <c r="S15" s="28"/>
      <c r="T15" s="28"/>
      <c r="U15" s="28"/>
      <c r="V15" s="29"/>
      <c r="W15" s="28"/>
      <c r="X15" s="28"/>
    </row>
    <row r="16" spans="1:24" s="120" customFormat="1" x14ac:dyDescent="0.5">
      <c r="A16" s="122">
        <v>7</v>
      </c>
      <c r="B16" s="32" t="s">
        <v>11</v>
      </c>
      <c r="C16" s="31"/>
      <c r="D16" s="31"/>
      <c r="E16" s="31"/>
      <c r="F16" s="31"/>
      <c r="G16" s="31"/>
      <c r="H16" s="31"/>
      <c r="I16" s="31"/>
      <c r="J16" s="31"/>
      <c r="K16" s="31"/>
      <c r="L16" s="31"/>
      <c r="M16" s="31"/>
      <c r="N16" s="30"/>
      <c r="O16" s="28"/>
      <c r="P16" s="28"/>
      <c r="Q16" s="28"/>
      <c r="R16" s="28"/>
      <c r="S16" s="28"/>
      <c r="T16" s="28"/>
      <c r="U16" s="28"/>
      <c r="V16" s="29"/>
      <c r="W16" s="28"/>
      <c r="X16" s="28"/>
    </row>
    <row r="17" spans="1:24" s="120" customFormat="1" x14ac:dyDescent="0.5">
      <c r="A17" s="122">
        <v>8</v>
      </c>
      <c r="B17" s="32" t="s">
        <v>11</v>
      </c>
      <c r="C17" s="31"/>
      <c r="D17" s="31"/>
      <c r="E17" s="31"/>
      <c r="F17" s="31"/>
      <c r="G17" s="31"/>
      <c r="H17" s="31"/>
      <c r="I17" s="31"/>
      <c r="J17" s="31"/>
      <c r="K17" s="31"/>
      <c r="L17" s="31"/>
      <c r="M17" s="31"/>
      <c r="N17" s="30"/>
      <c r="O17" s="28"/>
      <c r="P17" s="28"/>
      <c r="Q17" s="28"/>
      <c r="R17" s="28"/>
      <c r="S17" s="28"/>
      <c r="T17" s="28"/>
      <c r="U17" s="28"/>
      <c r="V17" s="29"/>
      <c r="W17" s="28"/>
      <c r="X17" s="28"/>
    </row>
    <row r="18" spans="1:24" x14ac:dyDescent="0.5">
      <c r="A18" s="124" t="s">
        <v>158</v>
      </c>
      <c r="B18" s="125"/>
    </row>
    <row r="19" spans="1:24" ht="55" x14ac:dyDescent="0.5">
      <c r="B19" s="126" t="s">
        <v>159</v>
      </c>
      <c r="C19" s="127" t="s">
        <v>160</v>
      </c>
      <c r="D19" s="128" t="str">
        <f>"Curve From "&amp;TEXT(D39,"##")&amp;" hp Efficiency Equations"</f>
        <v>Curve From 25 hp Efficiency Equations</v>
      </c>
      <c r="E19" s="129" t="str">
        <f>TEXT(F39,"##")&amp;" hp Motor Load"</f>
        <v>30 hp Motor Load</v>
      </c>
      <c r="F19" s="129" t="str">
        <f>"Projected "&amp;TEXT(F39,"##")&amp;" hp NEMA Premium Efficiency Curve"</f>
        <v>Projected 30 hp NEMA Premium Efficiency Curve</v>
      </c>
      <c r="G19" s="130" t="str">
        <f>"Curve From "&amp;TEXT(F39,"##")&amp;" hp Efficiency Equations"</f>
        <v>Curve From 30 hp Efficiency Equations</v>
      </c>
      <c r="H19" s="131" t="str">
        <f>TEXT(I39,"##")&amp;" hp Motor Load"</f>
        <v>40 hp Motor Load</v>
      </c>
      <c r="I19" s="131" t="str">
        <f>"Projected "&amp;TEXT(I39,"##")&amp;" hp NEMA Premium Efficiency Curve"</f>
        <v>Projected 40 hp NEMA Premium Efficiency Curve</v>
      </c>
      <c r="J19" s="131" t="str">
        <f>"Curve From "&amp;TEXT(I39,"##")&amp;" hp Efficiency Equations"</f>
        <v>Curve From 40 hp Efficiency Equations</v>
      </c>
      <c r="K19" s="129" t="str">
        <f>TEXT(L39,"##")&amp;" hp Motor Load"</f>
        <v>75 hp Motor Load</v>
      </c>
      <c r="L19" s="129" t="str">
        <f>"Projected "&amp;TEXT(L39,"##")&amp;" hp NEMA Premium Efficiency Curve"</f>
        <v>Projected 75 hp NEMA Premium Efficiency Curve</v>
      </c>
      <c r="M19" s="130" t="str">
        <f>"Curve From "&amp;TEXT(L39,"##")&amp;" hp Efficiency Equations"</f>
        <v>Curve From 75 hp Efficiency Equations</v>
      </c>
      <c r="N19" s="131" t="str">
        <f>TEXT(O39,"##")&amp;" hp Motor Load"</f>
        <v>100 hp Motor Load</v>
      </c>
      <c r="O19" s="131" t="str">
        <f>"Projected "&amp;TEXT(O39,"##")&amp;" hp NEMA Premium Efficiency Curve"</f>
        <v>Projected 100 hp NEMA Premium Efficiency Curve</v>
      </c>
      <c r="P19" s="131" t="str">
        <f>"Curve From "&amp;TEXT(O39,"##")&amp;" hp Efficiency Equations"</f>
        <v>Curve From 100 hp Efficiency Equations</v>
      </c>
    </row>
    <row r="20" spans="1:24" x14ac:dyDescent="0.5">
      <c r="B20" s="132"/>
      <c r="C20" s="133"/>
      <c r="D20" s="134" t="s">
        <v>161</v>
      </c>
      <c r="E20" s="135"/>
      <c r="F20" s="136"/>
      <c r="G20" s="134" t="s">
        <v>161</v>
      </c>
      <c r="H20" s="137"/>
      <c r="I20" s="137"/>
      <c r="J20" s="134" t="s">
        <v>161</v>
      </c>
      <c r="K20" s="135"/>
      <c r="L20" s="136"/>
      <c r="M20" s="134" t="s">
        <v>161</v>
      </c>
      <c r="N20" s="137"/>
      <c r="O20" s="137"/>
      <c r="P20" s="134" t="s">
        <v>161</v>
      </c>
    </row>
    <row r="21" spans="1:24" x14ac:dyDescent="0.5">
      <c r="A21" s="13"/>
      <c r="B21" s="138">
        <v>0.125502</v>
      </c>
      <c r="C21" s="139">
        <v>0.20092599999999999</v>
      </c>
      <c r="D21" s="140">
        <f>0.211182465802815*LN(B21)+0.63594805274788</f>
        <v>0.1976528708091696</v>
      </c>
      <c r="E21" s="141">
        <f t="shared" ref="E21:E38" si="0">($B21/$D$39)*F$39</f>
        <v>0.1506024</v>
      </c>
      <c r="F21" s="142">
        <f t="shared" ref="F21:F38" si="1">($F$40/$D$40)*D21</f>
        <v>0.19802592901265864</v>
      </c>
      <c r="G21" s="143">
        <f xml:space="preserve"> 0.211581060323493*LN(E21)+0.5985725790998</f>
        <v>0.19802592901265842</v>
      </c>
      <c r="H21" s="144">
        <f>($B21/$D$39)*I$39</f>
        <v>0.20080319999999999</v>
      </c>
      <c r="I21" s="145">
        <f>($I$40/$D$40)*D21</f>
        <v>0.19802592901265864</v>
      </c>
      <c r="J21" s="145">
        <f>0.211581060323493*LN(H21)+0.537704501174392</f>
        <v>0.19802592901265814</v>
      </c>
      <c r="K21" s="141">
        <f t="shared" ref="K21:K38" si="2">($B21/$D$39)*L$39</f>
        <v>0.37650599999999995</v>
      </c>
      <c r="L21" s="142">
        <f t="shared" ref="L21:L38" si="3">($L$40/$D$40)*D21</f>
        <v>0.1999199070797297</v>
      </c>
      <c r="M21" s="143">
        <f xml:space="preserve"> 0.213604683642209*LN(K21)+0.408573510904371</f>
        <v>0.19991990707972931</v>
      </c>
      <c r="N21" s="144">
        <f>($B21/$D$39)*O$39</f>
        <v>0.50200800000000001</v>
      </c>
      <c r="O21" s="145">
        <f t="shared" ref="O21:O38" si="4">($O$40/$D$40)*D21</f>
        <v>0.20076167510953913</v>
      </c>
      <c r="P21" s="145">
        <f>0.21450407178386*LN(N21)+0.348584844503842</f>
        <v>0.20076167510953918</v>
      </c>
    </row>
    <row r="22" spans="1:24" x14ac:dyDescent="0.5">
      <c r="A22" s="13"/>
      <c r="B22" s="146">
        <v>0.31375500000000001</v>
      </c>
      <c r="C22" s="147">
        <v>0.38425900000000002</v>
      </c>
      <c r="D22" s="148">
        <f t="shared" ref="D22:D27" si="5">0.211182465802815*LN(B22)+0.63594805274788</f>
        <v>0.39115740695861972</v>
      </c>
      <c r="E22" s="149">
        <f t="shared" si="0"/>
        <v>0.37650600000000001</v>
      </c>
      <c r="F22" s="150">
        <f t="shared" si="1"/>
        <v>0.39189569362718168</v>
      </c>
      <c r="G22" s="151">
        <f t="shared" ref="G22:G27" si="6" xml:space="preserve"> 0.211581060323493*LN(E22)+0.5985725790998</f>
        <v>0.39189569362718157</v>
      </c>
      <c r="H22" s="152">
        <f t="shared" ref="H22:H38" si="7">($B22/$D$39)*I$39</f>
        <v>0.50200800000000001</v>
      </c>
      <c r="I22" s="153">
        <f t="shared" ref="I22:I38" si="8">($I$40/$D$40)*D22</f>
        <v>0.39189569362718168</v>
      </c>
      <c r="J22" s="145">
        <f t="shared" ref="J22:J27" si="9">0.211581060323493*LN(H22)+0.537704501174392</f>
        <v>0.3918956936271813</v>
      </c>
      <c r="K22" s="149">
        <f t="shared" si="2"/>
        <v>0.94126500000000002</v>
      </c>
      <c r="L22" s="150">
        <f t="shared" si="3"/>
        <v>0.39564389898599633</v>
      </c>
      <c r="M22" s="151">
        <f t="shared" ref="M22:M27" si="10" xml:space="preserve"> 0.213604683642209*LN(K22)+0.408573510904371</f>
        <v>0.39564389898599639</v>
      </c>
      <c r="N22" s="152">
        <f t="shared" ref="N22:N38" si="11">($B22/$D$39)*O$39</f>
        <v>1.25502</v>
      </c>
      <c r="O22" s="153">
        <f t="shared" si="4"/>
        <v>0.39730976803435847</v>
      </c>
      <c r="P22" s="153">
        <f t="shared" ref="P22:P27" si="12">0.21450407178386*LN(N22)+0.348584844503842</f>
        <v>0.39730976803435858</v>
      </c>
    </row>
    <row r="23" spans="1:24" x14ac:dyDescent="0.5">
      <c r="A23" s="13"/>
      <c r="B23" s="138">
        <v>0.53338399999999997</v>
      </c>
      <c r="C23" s="139">
        <v>0.49536999999999998</v>
      </c>
      <c r="D23" s="140">
        <f t="shared" si="5"/>
        <v>0.50321698740741183</v>
      </c>
      <c r="E23" s="141">
        <f t="shared" si="0"/>
        <v>0.64006079999999987</v>
      </c>
      <c r="F23" s="142">
        <f t="shared" si="1"/>
        <v>0.50416677996301107</v>
      </c>
      <c r="G23" s="143">
        <f t="shared" si="6"/>
        <v>0.50416677996301107</v>
      </c>
      <c r="H23" s="144">
        <f t="shared" si="7"/>
        <v>0.85341439999999991</v>
      </c>
      <c r="I23" s="145">
        <f t="shared" si="8"/>
        <v>0.50416677996301107</v>
      </c>
      <c r="J23" s="145">
        <f t="shared" si="9"/>
        <v>0.50416677996301074</v>
      </c>
      <c r="K23" s="141">
        <f t="shared" si="2"/>
        <v>1.6001519999999998</v>
      </c>
      <c r="L23" s="142">
        <f t="shared" si="3"/>
        <v>0.50898877892121197</v>
      </c>
      <c r="M23" s="143">
        <f t="shared" si="10"/>
        <v>0.5089887789212123</v>
      </c>
      <c r="N23" s="144">
        <f t="shared" si="11"/>
        <v>2.1335359999999999</v>
      </c>
      <c r="O23" s="145">
        <f t="shared" si="4"/>
        <v>0.51113188956930133</v>
      </c>
      <c r="P23" s="145">
        <f t="shared" si="12"/>
        <v>0.51113188956930156</v>
      </c>
    </row>
    <row r="24" spans="1:24" x14ac:dyDescent="0.5">
      <c r="A24" s="13"/>
      <c r="B24" s="146">
        <v>0.87851400000000002</v>
      </c>
      <c r="C24" s="147">
        <v>0.61759299999999995</v>
      </c>
      <c r="D24" s="148">
        <f t="shared" si="5"/>
        <v>0.60859497431739396</v>
      </c>
      <c r="E24" s="149">
        <f t="shared" si="0"/>
        <v>1.0542168000000001</v>
      </c>
      <c r="F24" s="150">
        <f t="shared" si="1"/>
        <v>0.60974366164402782</v>
      </c>
      <c r="G24" s="151">
        <f t="shared" si="6"/>
        <v>0.60974366164402793</v>
      </c>
      <c r="H24" s="152">
        <f t="shared" si="7"/>
        <v>1.4056223999999999</v>
      </c>
      <c r="I24" s="153">
        <f t="shared" si="8"/>
        <v>0.60974366164402782</v>
      </c>
      <c r="J24" s="145">
        <f t="shared" si="9"/>
        <v>0.6097436616440276</v>
      </c>
      <c r="K24" s="149">
        <f t="shared" si="2"/>
        <v>2.6355420000000001</v>
      </c>
      <c r="L24" s="150">
        <f t="shared" si="3"/>
        <v>0.61557542886485261</v>
      </c>
      <c r="M24" s="151">
        <f t="shared" si="10"/>
        <v>0.61557542886485328</v>
      </c>
      <c r="N24" s="152">
        <f t="shared" si="11"/>
        <v>3.5140560000000001</v>
      </c>
      <c r="O24" s="153">
        <f t="shared" si="4"/>
        <v>0.61816732540744157</v>
      </c>
      <c r="P24" s="153">
        <f t="shared" si="12"/>
        <v>0.61816732540744179</v>
      </c>
    </row>
    <row r="25" spans="1:24" x14ac:dyDescent="0.5">
      <c r="A25" s="13"/>
      <c r="B25" s="138">
        <v>1.3177700000000001</v>
      </c>
      <c r="C25" s="139">
        <v>0.70648100000000003</v>
      </c>
      <c r="D25" s="140">
        <f t="shared" si="5"/>
        <v>0.69422193538728738</v>
      </c>
      <c r="E25" s="141">
        <f t="shared" si="0"/>
        <v>1.581324</v>
      </c>
      <c r="F25" s="142">
        <f t="shared" si="1"/>
        <v>0.69553223858186275</v>
      </c>
      <c r="G25" s="143">
        <f t="shared" si="6"/>
        <v>0.69553223858186297</v>
      </c>
      <c r="H25" s="144">
        <f t="shared" si="7"/>
        <v>2.1084320000000001</v>
      </c>
      <c r="I25" s="145">
        <f t="shared" si="8"/>
        <v>0.69553223858186275</v>
      </c>
      <c r="J25" s="145">
        <f t="shared" si="9"/>
        <v>0.69553223858186264</v>
      </c>
      <c r="K25" s="141">
        <f t="shared" si="2"/>
        <v>3.9533100000000001</v>
      </c>
      <c r="L25" s="142">
        <f t="shared" si="3"/>
        <v>0.70218451291473916</v>
      </c>
      <c r="M25" s="143">
        <f t="shared" si="10"/>
        <v>0.70218451291473993</v>
      </c>
      <c r="N25" s="144">
        <f t="shared" si="11"/>
        <v>5.2710800000000004</v>
      </c>
      <c r="O25" s="145">
        <f t="shared" si="4"/>
        <v>0.70514107928490655</v>
      </c>
      <c r="P25" s="145">
        <f t="shared" si="12"/>
        <v>0.70514107928490688</v>
      </c>
    </row>
    <row r="26" spans="1:24" x14ac:dyDescent="0.5">
      <c r="A26" s="13"/>
      <c r="B26" s="146">
        <v>1.7570300000000001</v>
      </c>
      <c r="C26" s="147">
        <v>0.75648099999999996</v>
      </c>
      <c r="D26" s="148">
        <f t="shared" si="5"/>
        <v>0.7549757454581747</v>
      </c>
      <c r="E26" s="149">
        <f t="shared" si="0"/>
        <v>2.1084360000000002</v>
      </c>
      <c r="F26" s="150">
        <f t="shared" si="1"/>
        <v>0.75640071790671726</v>
      </c>
      <c r="G26" s="151">
        <f t="shared" si="6"/>
        <v>0.75640071790671759</v>
      </c>
      <c r="H26" s="152">
        <f t="shared" si="7"/>
        <v>2.811248</v>
      </c>
      <c r="I26" s="153">
        <f t="shared" si="8"/>
        <v>0.75640071790671726</v>
      </c>
      <c r="J26" s="145">
        <f t="shared" si="9"/>
        <v>0.75640071790671726</v>
      </c>
      <c r="K26" s="149">
        <f t="shared" si="2"/>
        <v>5.2710900000000001</v>
      </c>
      <c r="L26" s="150">
        <f t="shared" si="3"/>
        <v>0.76363515622888556</v>
      </c>
      <c r="M26" s="151">
        <f t="shared" si="10"/>
        <v>0.76363515622888656</v>
      </c>
      <c r="N26" s="152">
        <f t="shared" si="11"/>
        <v>7.0281200000000004</v>
      </c>
      <c r="O26" s="153">
        <f t="shared" si="4"/>
        <v>0.76685046214984942</v>
      </c>
      <c r="P26" s="153">
        <f t="shared" si="12"/>
        <v>0.76685046214984975</v>
      </c>
    </row>
    <row r="27" spans="1:24" x14ac:dyDescent="0.5">
      <c r="A27" s="13"/>
      <c r="B27" s="138">
        <v>2.2590400000000002</v>
      </c>
      <c r="C27" s="139">
        <v>0.796759</v>
      </c>
      <c r="D27" s="140">
        <f t="shared" si="5"/>
        <v>0.80804907966194439</v>
      </c>
      <c r="E27" s="141">
        <f t="shared" si="0"/>
        <v>2.7108479999999999</v>
      </c>
      <c r="F27" s="142">
        <f t="shared" si="1"/>
        <v>0.80957422491663023</v>
      </c>
      <c r="G27" s="143">
        <f t="shared" si="6"/>
        <v>0.80957422491663045</v>
      </c>
      <c r="H27" s="144">
        <f t="shared" si="7"/>
        <v>3.6144639999999999</v>
      </c>
      <c r="I27" s="145">
        <f t="shared" si="8"/>
        <v>0.80957422491663023</v>
      </c>
      <c r="J27" s="145">
        <f t="shared" si="9"/>
        <v>0.80957422491663023</v>
      </c>
      <c r="K27" s="141">
        <f t="shared" si="2"/>
        <v>6.77712</v>
      </c>
      <c r="L27" s="142">
        <f t="shared" si="3"/>
        <v>0.81731723025589653</v>
      </c>
      <c r="M27" s="143">
        <f t="shared" si="10"/>
        <v>0.81731723025589764</v>
      </c>
      <c r="N27" s="144">
        <f t="shared" si="11"/>
        <v>9.0361600000000006</v>
      </c>
      <c r="O27" s="145">
        <f t="shared" si="4"/>
        <v>0.82075856596223729</v>
      </c>
      <c r="P27" s="145">
        <f t="shared" si="12"/>
        <v>0.82075856596223762</v>
      </c>
    </row>
    <row r="28" spans="1:24" x14ac:dyDescent="0.5">
      <c r="A28" s="13"/>
      <c r="B28" s="154">
        <v>3.0748000000000002</v>
      </c>
      <c r="C28" s="155">
        <v>0.83703700000000003</v>
      </c>
      <c r="D28" s="148">
        <f>(-0.000002728822435967*((B28)^4))+( 0.000200122795541598*((B28)^3))-(0.00530280440572924*((B28)^2))+( 0.0599480739940319*B28)+0.693805751057376</f>
        <v>0.83357300839734871</v>
      </c>
      <c r="E28" s="156">
        <f t="shared" si="0"/>
        <v>3.6897600000000002</v>
      </c>
      <c r="F28" s="157">
        <f t="shared" si="1"/>
        <v>0.83514632857082549</v>
      </c>
      <c r="G28" s="158">
        <f>(-1.25333486590551E-06*((E28)^4))+(0.000110711573679392*((E28)^3))-(0.00354093526504893*((E28)^2))+(0.0484250846160908*E28)+ 0.700720777985162</f>
        <v>0.83651939705824774</v>
      </c>
      <c r="H28" s="159">
        <f t="shared" si="7"/>
        <v>4.9196800000000005</v>
      </c>
      <c r="I28" s="160">
        <f t="shared" si="8"/>
        <v>0.83514632857082549</v>
      </c>
      <c r="J28" s="160">
        <f>(-3.9656298491363E-07*((H28)^4))+( 0.000046706445145827*((H28)^3))-(0.00199177608658508*((H28)^2))+(0.0363188134620092*H28)+0.700720777985886</f>
        <v>0.83651939705878287</v>
      </c>
      <c r="K28" s="156">
        <f t="shared" si="2"/>
        <v>9.224400000000001</v>
      </c>
      <c r="L28" s="157">
        <f t="shared" si="3"/>
        <v>0.84313391300986618</v>
      </c>
      <c r="M28" s="158">
        <f>(-3.239224648108E-08*((K28)^4))+(7.15330890507886E-06*((K28)^3))-(0.000571968289358145*((K28)^2))+( 0.019555294531455*K28)+0.707422677030658</f>
        <v>0.84452011392692794</v>
      </c>
      <c r="N28" s="159">
        <f t="shared" si="11"/>
        <v>12.299200000000001</v>
      </c>
      <c r="O28" s="160">
        <f t="shared" si="4"/>
        <v>0.8466839505383289</v>
      </c>
      <c r="P28" s="160">
        <f>(-1.977357647103E-08*((N28)^4))+(4.90324034986658E-06*((N28)^3))-(0.000437341177902083*((N28)^2))+(0.0165556049572584*N28)+0.728424251473622</f>
        <v>0.87455823266837951</v>
      </c>
    </row>
    <row r="29" spans="1:24" x14ac:dyDescent="0.5">
      <c r="A29" s="13"/>
      <c r="B29" s="161">
        <v>3.8591899999999999</v>
      </c>
      <c r="C29" s="162">
        <v>0.86342600000000003</v>
      </c>
      <c r="D29" s="140">
        <f t="shared" ref="D29:D38" si="13">(-0.000002728822435967*((B29)^4))+( 0.000200122795541598*((B29)^3))-(0.00530280440572924*((B29)^2))+( 0.0599480739940319*B29)+0.693805751057376</f>
        <v>0.85707727455797156</v>
      </c>
      <c r="E29" s="163">
        <f t="shared" si="0"/>
        <v>4.6310279999999997</v>
      </c>
      <c r="F29" s="164">
        <f t="shared" si="1"/>
        <v>0.85869495765556025</v>
      </c>
      <c r="G29" s="165">
        <f t="shared" ref="G29:G38" si="14">(-1.25333486590551E-06*((E29)^4))+(0.000110711573679392*((E29)^3))-(0.00354093526504893*((E29)^2))+(0.0484250846160908*E29)+ 0.700720777985162</f>
        <v>0.85945760442127672</v>
      </c>
      <c r="H29" s="166">
        <f t="shared" si="7"/>
        <v>6.1747040000000002</v>
      </c>
      <c r="I29" s="167">
        <f t="shared" si="8"/>
        <v>0.85869495765556025</v>
      </c>
      <c r="J29" s="167">
        <f t="shared" ref="J29:J38" si="15">(-3.9656298491363E-07*((H29)^4))+( 0.000046706445145827*((H29)^3))-(0.00199177608658508*((H29)^2))+(0.0363188134620092*H29)+0.700720777985886</f>
        <v>0.85945760442178876</v>
      </c>
      <c r="K29" s="163">
        <f t="shared" si="2"/>
        <v>11.57757</v>
      </c>
      <c r="L29" s="164">
        <f t="shared" si="3"/>
        <v>0.86690776809009784</v>
      </c>
      <c r="M29" s="165">
        <f t="shared" ref="M29:M38" si="16">(-3.239224648108E-08*((K29)^4))+(7.15330890507886E-06*((K29)^3))-(0.000571968289358145*((K29)^2))+( 0.019555294531455*K29)+0.707422677030658</f>
        <v>0.86767770903308206</v>
      </c>
      <c r="N29" s="166">
        <f t="shared" si="11"/>
        <v>15.43676</v>
      </c>
      <c r="O29" s="167">
        <f t="shared" si="4"/>
        <v>0.87055790606100369</v>
      </c>
      <c r="P29" s="167">
        <f t="shared" ref="P29:P38" si="17">(-1.977357647103E-08*((N29)^4))+(4.90324034986658E-06*((N29)^3))-(0.000437341177902083*((N29)^2))+(0.0165556049572584*N29)+0.728424251473622</f>
        <v>0.89668722066630624</v>
      </c>
    </row>
    <row r="30" spans="1:24" x14ac:dyDescent="0.5">
      <c r="A30" s="13"/>
      <c r="B30" s="154">
        <v>5.1142099999999999</v>
      </c>
      <c r="C30" s="155">
        <v>0.891204</v>
      </c>
      <c r="D30" s="148">
        <f t="shared" si="13"/>
        <v>0.88659941895442274</v>
      </c>
      <c r="E30" s="156">
        <f t="shared" si="0"/>
        <v>6.1370519999999997</v>
      </c>
      <c r="F30" s="157">
        <f t="shared" si="1"/>
        <v>0.88827282336841118</v>
      </c>
      <c r="G30" s="158">
        <f t="shared" si="14"/>
        <v>0.88835658405692919</v>
      </c>
      <c r="H30" s="159">
        <f t="shared" si="7"/>
        <v>8.1827359999999985</v>
      </c>
      <c r="I30" s="160">
        <f t="shared" si="8"/>
        <v>0.88827282336841118</v>
      </c>
      <c r="J30" s="160">
        <f t="shared" si="15"/>
        <v>0.88835658405741902</v>
      </c>
      <c r="K30" s="156">
        <f t="shared" si="2"/>
        <v>15.342629999999998</v>
      </c>
      <c r="L30" s="157">
        <f t="shared" si="3"/>
        <v>0.89676852518596228</v>
      </c>
      <c r="M30" s="158">
        <f t="shared" si="16"/>
        <v>0.89685308698622102</v>
      </c>
      <c r="N30" s="159">
        <f t="shared" si="11"/>
        <v>20.45684</v>
      </c>
      <c r="O30" s="160">
        <f t="shared" si="4"/>
        <v>0.90054439266042963</v>
      </c>
      <c r="P30" s="160">
        <f t="shared" si="17"/>
        <v>0.92259295924690565</v>
      </c>
    </row>
    <row r="31" spans="1:24" x14ac:dyDescent="0.5">
      <c r="A31" s="13"/>
      <c r="B31" s="161">
        <v>6.4319800000000003</v>
      </c>
      <c r="C31" s="162">
        <v>0.90648200000000001</v>
      </c>
      <c r="D31" s="140">
        <f t="shared" si="13"/>
        <v>0.90859255109836934</v>
      </c>
      <c r="E31" s="163">
        <f t="shared" si="0"/>
        <v>7.7183759999999992</v>
      </c>
      <c r="F31" s="164">
        <f t="shared" si="1"/>
        <v>0.91030746625962455</v>
      </c>
      <c r="G31" s="165">
        <f t="shared" si="14"/>
        <v>0.90999664474045583</v>
      </c>
      <c r="H31" s="166">
        <f t="shared" si="7"/>
        <v>10.291167999999999</v>
      </c>
      <c r="I31" s="167">
        <f t="shared" si="8"/>
        <v>0.91030746625962455</v>
      </c>
      <c r="J31" s="167">
        <f t="shared" si="15"/>
        <v>0.90999664474093578</v>
      </c>
      <c r="K31" s="163">
        <f t="shared" si="2"/>
        <v>19.295939999999998</v>
      </c>
      <c r="L31" s="164">
        <f t="shared" si="3"/>
        <v>0.91901391386465803</v>
      </c>
      <c r="M31" s="165">
        <f t="shared" si="16"/>
        <v>0.9187001195573109</v>
      </c>
      <c r="N31" s="166">
        <f t="shared" si="11"/>
        <v>25.727919999999997</v>
      </c>
      <c r="O31" s="167">
        <f t="shared" si="4"/>
        <v>0.92288344613356199</v>
      </c>
      <c r="P31" s="167">
        <f t="shared" si="17"/>
        <v>0.93971644655757725</v>
      </c>
    </row>
    <row r="32" spans="1:24" x14ac:dyDescent="0.5">
      <c r="A32" s="13"/>
      <c r="B32" s="154">
        <v>7.8125</v>
      </c>
      <c r="C32" s="155">
        <v>0.92037000000000002</v>
      </c>
      <c r="D32" s="148">
        <f t="shared" si="13"/>
        <v>0.92375291303966511</v>
      </c>
      <c r="E32" s="156">
        <f t="shared" si="0"/>
        <v>9.375</v>
      </c>
      <c r="F32" s="157">
        <f t="shared" si="1"/>
        <v>0.92549644249509633</v>
      </c>
      <c r="G32" s="158">
        <f t="shared" si="14"/>
        <v>0.92503274490817911</v>
      </c>
      <c r="H32" s="159">
        <f t="shared" si="7"/>
        <v>12.5</v>
      </c>
      <c r="I32" s="160">
        <f t="shared" si="8"/>
        <v>0.92549644249509633</v>
      </c>
      <c r="J32" s="160">
        <f t="shared" si="15"/>
        <v>0.92503274490865761</v>
      </c>
      <c r="K32" s="156">
        <f t="shared" si="2"/>
        <v>23.4375</v>
      </c>
      <c r="L32" s="157">
        <f t="shared" si="3"/>
        <v>0.9343481619238484</v>
      </c>
      <c r="M32" s="158">
        <f t="shared" si="16"/>
        <v>0.93388002939725512</v>
      </c>
      <c r="N32" s="159">
        <f t="shared" si="11"/>
        <v>31.25</v>
      </c>
      <c r="O32" s="160">
        <f t="shared" si="4"/>
        <v>0.93828225944773846</v>
      </c>
      <c r="P32" s="160">
        <f t="shared" si="17"/>
        <v>0.94947338076173349</v>
      </c>
    </row>
    <row r="33" spans="1:19" x14ac:dyDescent="0.5">
      <c r="A33" s="13"/>
      <c r="B33" s="161">
        <v>10.008800000000001</v>
      </c>
      <c r="C33" s="162">
        <v>0.931481</v>
      </c>
      <c r="D33" s="140">
        <f t="shared" si="13"/>
        <v>0.93586706825899868</v>
      </c>
      <c r="E33" s="163">
        <f t="shared" si="0"/>
        <v>12.010560000000002</v>
      </c>
      <c r="F33" s="164">
        <f t="shared" si="1"/>
        <v>0.93763346247204471</v>
      </c>
      <c r="G33" s="165">
        <f t="shared" si="14"/>
        <v>0.9372750214292267</v>
      </c>
      <c r="H33" s="166">
        <f t="shared" si="7"/>
        <v>16.01408</v>
      </c>
      <c r="I33" s="167">
        <f t="shared" si="8"/>
        <v>0.93763346247204471</v>
      </c>
      <c r="J33" s="167">
        <f t="shared" si="15"/>
        <v>0.93727502142970887</v>
      </c>
      <c r="K33" s="163">
        <f t="shared" si="2"/>
        <v>30.026400000000002</v>
      </c>
      <c r="L33" s="164">
        <f t="shared" si="3"/>
        <v>0.94660126391970489</v>
      </c>
      <c r="M33" s="165">
        <f t="shared" si="16"/>
        <v>0.94623939464174445</v>
      </c>
      <c r="N33" s="166">
        <f t="shared" si="11"/>
        <v>40.035200000000003</v>
      </c>
      <c r="O33" s="167">
        <f t="shared" si="4"/>
        <v>0.95058695345199851</v>
      </c>
      <c r="P33" s="167">
        <f t="shared" si="17"/>
        <v>0.95409101614850234</v>
      </c>
    </row>
    <row r="34" spans="1:19" x14ac:dyDescent="0.5">
      <c r="A34" s="13"/>
      <c r="B34" s="154">
        <v>13.805199999999999</v>
      </c>
      <c r="C34" s="155">
        <v>0.93842599999999998</v>
      </c>
      <c r="D34" s="148">
        <f t="shared" si="13"/>
        <v>0.93818897669331913</v>
      </c>
      <c r="E34" s="156">
        <f t="shared" si="0"/>
        <v>16.566239999999997</v>
      </c>
      <c r="F34" s="157">
        <f t="shared" si="1"/>
        <v>0.93995975337238058</v>
      </c>
      <c r="G34" s="158">
        <f t="shared" si="14"/>
        <v>0.94011293138315433</v>
      </c>
      <c r="H34" s="159">
        <f t="shared" si="7"/>
        <v>22.088319999999996</v>
      </c>
      <c r="I34" s="160">
        <f t="shared" si="8"/>
        <v>0.93995975337238058</v>
      </c>
      <c r="J34" s="160">
        <f t="shared" si="15"/>
        <v>0.94011293138361962</v>
      </c>
      <c r="K34" s="156">
        <f t="shared" si="2"/>
        <v>41.415599999999991</v>
      </c>
      <c r="L34" s="157">
        <f t="shared" si="3"/>
        <v>0.94894980414852426</v>
      </c>
      <c r="M34" s="158">
        <f t="shared" si="16"/>
        <v>0.94910444719887332</v>
      </c>
      <c r="N34" s="159">
        <f t="shared" si="11"/>
        <v>55.22079999999999</v>
      </c>
      <c r="O34" s="160">
        <f t="shared" si="4"/>
        <v>0.95294538227125514</v>
      </c>
      <c r="P34" s="160">
        <f t="shared" si="17"/>
        <v>0.95081479621845788</v>
      </c>
    </row>
    <row r="35" spans="1:19" x14ac:dyDescent="0.5">
      <c r="A35" s="13"/>
      <c r="B35" s="161">
        <v>16.566299999999998</v>
      </c>
      <c r="C35" s="162">
        <v>0.93981499999999996</v>
      </c>
      <c r="D35" s="140">
        <f t="shared" si="13"/>
        <v>0.93593567064072369</v>
      </c>
      <c r="E35" s="163">
        <f t="shared" si="0"/>
        <v>19.879559999999998</v>
      </c>
      <c r="F35" s="164">
        <f t="shared" si="1"/>
        <v>0.9377021943367424</v>
      </c>
      <c r="G35" s="165">
        <f t="shared" si="14"/>
        <v>0.93806473972468296</v>
      </c>
      <c r="H35" s="166">
        <f t="shared" si="7"/>
        <v>26.506079999999997</v>
      </c>
      <c r="I35" s="167">
        <f t="shared" si="8"/>
        <v>0.9377021943367424</v>
      </c>
      <c r="J35" s="167">
        <f t="shared" si="15"/>
        <v>0.93806473972509929</v>
      </c>
      <c r="K35" s="163">
        <f t="shared" si="2"/>
        <v>49.698899999999995</v>
      </c>
      <c r="L35" s="164">
        <f t="shared" si="3"/>
        <v>0.94667065315611598</v>
      </c>
      <c r="M35" s="165">
        <f t="shared" si="16"/>
        <v>0.94703666603453451</v>
      </c>
      <c r="N35" s="166">
        <f t="shared" si="11"/>
        <v>66.265199999999993</v>
      </c>
      <c r="O35" s="167">
        <f t="shared" si="4"/>
        <v>0.95065663485361562</v>
      </c>
      <c r="P35" s="167">
        <f t="shared" si="17"/>
        <v>0.95054394969669398</v>
      </c>
    </row>
    <row r="36" spans="1:19" x14ac:dyDescent="0.5">
      <c r="A36" s="13"/>
      <c r="B36" s="154">
        <v>21.147099999999998</v>
      </c>
      <c r="C36" s="155">
        <v>0.93842599999999998</v>
      </c>
      <c r="D36" s="148">
        <f t="shared" si="13"/>
        <v>0.93694669844053269</v>
      </c>
      <c r="E36" s="156">
        <f t="shared" si="0"/>
        <v>25.376519999999999</v>
      </c>
      <c r="F36" s="157">
        <f t="shared" si="1"/>
        <v>0.93871513039223786</v>
      </c>
      <c r="G36" s="158">
        <f t="shared" si="14"/>
        <v>0.93879266996279076</v>
      </c>
      <c r="H36" s="159">
        <f t="shared" si="7"/>
        <v>33.835360000000001</v>
      </c>
      <c r="I36" s="160">
        <f t="shared" si="8"/>
        <v>0.93871513039223786</v>
      </c>
      <c r="J36" s="160">
        <f t="shared" si="15"/>
        <v>0.93879266996307131</v>
      </c>
      <c r="K36" s="156">
        <f t="shared" si="2"/>
        <v>63.441299999999998</v>
      </c>
      <c r="L36" s="157">
        <f t="shared" si="3"/>
        <v>0.94769327722914543</v>
      </c>
      <c r="M36" s="158">
        <f t="shared" si="16"/>
        <v>0.9477715584105002</v>
      </c>
      <c r="N36" s="159">
        <f t="shared" si="11"/>
        <v>84.588399999999993</v>
      </c>
      <c r="O36" s="160">
        <f t="shared" si="4"/>
        <v>0.95168356471221571</v>
      </c>
      <c r="P36" s="160">
        <f t="shared" si="17"/>
        <v>0.95489913694398554</v>
      </c>
    </row>
    <row r="37" spans="1:19" x14ac:dyDescent="0.5">
      <c r="A37" s="13"/>
      <c r="B37" s="161">
        <v>24.629799999999999</v>
      </c>
      <c r="C37" s="162">
        <v>0.93564800000000004</v>
      </c>
      <c r="D37" s="140">
        <f t="shared" si="13"/>
        <v>0.93934874973288462</v>
      </c>
      <c r="E37" s="163">
        <f t="shared" si="0"/>
        <v>29.555759999999999</v>
      </c>
      <c r="F37" s="164">
        <f t="shared" si="1"/>
        <v>0.94112171541555034</v>
      </c>
      <c r="G37" s="165">
        <f t="shared" si="14"/>
        <v>0.94078696012063967</v>
      </c>
      <c r="H37" s="166">
        <f t="shared" si="7"/>
        <v>39.407679999999999</v>
      </c>
      <c r="I37" s="167">
        <f t="shared" si="8"/>
        <v>0.94112171541555034</v>
      </c>
      <c r="J37" s="167">
        <f t="shared" si="15"/>
        <v>0.94078696012083562</v>
      </c>
      <c r="K37" s="163">
        <f t="shared" si="2"/>
        <v>73.889399999999995</v>
      </c>
      <c r="L37" s="164">
        <f t="shared" si="3"/>
        <v>0.9501228795374842</v>
      </c>
      <c r="M37" s="165">
        <f t="shared" si="16"/>
        <v>0.94978492254379265</v>
      </c>
      <c r="N37" s="166">
        <f t="shared" si="11"/>
        <v>98.519199999999998</v>
      </c>
      <c r="O37" s="167">
        <f t="shared" si="4"/>
        <v>0.95412339692501058</v>
      </c>
      <c r="P37" s="167">
        <f t="shared" si="17"/>
        <v>0.9404390401781676</v>
      </c>
    </row>
    <row r="38" spans="1:19" x14ac:dyDescent="0.5">
      <c r="A38" s="13"/>
      <c r="B38" s="154">
        <v>28.677199999999999</v>
      </c>
      <c r="C38" s="155">
        <v>0.927315</v>
      </c>
      <c r="D38" s="148">
        <f t="shared" si="13"/>
        <v>0.926101378154503</v>
      </c>
      <c r="E38" s="156">
        <f t="shared" si="0"/>
        <v>34.412639999999996</v>
      </c>
      <c r="F38" s="157">
        <f t="shared" si="1"/>
        <v>0.92784934020012688</v>
      </c>
      <c r="G38" s="158">
        <f t="shared" si="14"/>
        <v>0.92796815666684729</v>
      </c>
      <c r="H38" s="159">
        <f t="shared" si="7"/>
        <v>45.883519999999997</v>
      </c>
      <c r="I38" s="160">
        <f t="shared" si="8"/>
        <v>0.92784934020012688</v>
      </c>
      <c r="J38" s="160">
        <f t="shared" si="15"/>
        <v>0.92796815666710453</v>
      </c>
      <c r="K38" s="156">
        <f t="shared" si="2"/>
        <v>86.031599999999997</v>
      </c>
      <c r="L38" s="157">
        <f t="shared" si="3"/>
        <v>0.93672356343264651</v>
      </c>
      <c r="M38" s="158">
        <f t="shared" si="16"/>
        <v>0.93684351629312479</v>
      </c>
      <c r="N38" s="159">
        <f t="shared" si="11"/>
        <v>114.70879999999998</v>
      </c>
      <c r="O38" s="160">
        <f t="shared" si="4"/>
        <v>0.94066766264709989</v>
      </c>
      <c r="P38" s="160">
        <f t="shared" si="17"/>
        <v>0.8501106013902483</v>
      </c>
    </row>
    <row r="39" spans="1:19" x14ac:dyDescent="0.5">
      <c r="A39" s="13"/>
      <c r="B39" s="168"/>
      <c r="C39" s="169" t="s">
        <v>162</v>
      </c>
      <c r="D39" s="170">
        <v>25</v>
      </c>
      <c r="E39" s="171"/>
      <c r="F39" s="172">
        <v>30</v>
      </c>
      <c r="G39" s="173"/>
      <c r="H39" s="174"/>
      <c r="I39" s="175">
        <v>40</v>
      </c>
      <c r="J39" s="174"/>
      <c r="K39" s="171"/>
      <c r="L39" s="172">
        <v>75</v>
      </c>
      <c r="M39" s="173"/>
      <c r="N39" s="174"/>
      <c r="O39" s="175">
        <v>100</v>
      </c>
      <c r="P39" s="174"/>
    </row>
    <row r="40" spans="1:19" x14ac:dyDescent="0.5">
      <c r="A40" s="19"/>
      <c r="B40" s="176"/>
      <c r="C40" s="177" t="s">
        <v>163</v>
      </c>
      <c r="D40" s="148">
        <f>(-0.000002728822435967*((D39)^4))+( 0.000200122795541598*((D39)^3))-(0.00530280440572924*((D39)^2))+( 0.0599480739940319*D39)+0.693805751057376</f>
        <v>0.93922726361525755</v>
      </c>
      <c r="E40" s="156"/>
      <c r="F40" s="157">
        <v>0.94099999999999995</v>
      </c>
      <c r="G40" s="178"/>
      <c r="H40" s="160"/>
      <c r="I40" s="160">
        <v>0.94099999999999995</v>
      </c>
      <c r="J40" s="160"/>
      <c r="K40" s="156"/>
      <c r="L40" s="157">
        <v>0.95</v>
      </c>
      <c r="M40" s="178"/>
      <c r="N40" s="160"/>
      <c r="O40" s="160">
        <v>0.95399999999999996</v>
      </c>
      <c r="P40" s="160"/>
    </row>
    <row r="41" spans="1:19" x14ac:dyDescent="0.5">
      <c r="A41" s="18"/>
      <c r="B41" s="179" t="str">
        <f>TEXT(D39,"##")&amp;" hp Motor Equations"</f>
        <v>25 hp Motor Equations</v>
      </c>
      <c r="C41" s="180" t="s">
        <v>164</v>
      </c>
      <c r="D41" s="181"/>
      <c r="E41" s="181"/>
      <c r="F41" s="181"/>
      <c r="G41" s="181"/>
      <c r="H41" s="181"/>
      <c r="I41" s="181"/>
      <c r="J41" s="181"/>
      <c r="K41" s="181"/>
      <c r="L41" s="181"/>
      <c r="M41" s="181"/>
      <c r="N41" s="181"/>
      <c r="O41" s="181"/>
      <c r="P41" s="181"/>
      <c r="Q41" s="181"/>
      <c r="R41" s="181"/>
      <c r="S41" s="181"/>
    </row>
    <row r="42" spans="1:19" ht="20" x14ac:dyDescent="0.5">
      <c r="A42" s="13"/>
      <c r="B42" s="182" t="s">
        <v>165</v>
      </c>
      <c r="C42" s="183" t="s">
        <v>166</v>
      </c>
      <c r="D42" s="184"/>
      <c r="E42" s="184"/>
      <c r="F42" s="184"/>
      <c r="G42" s="184"/>
      <c r="H42" s="184"/>
      <c r="I42" s="184"/>
      <c r="J42" s="184"/>
      <c r="K42" s="184"/>
      <c r="L42" s="184"/>
      <c r="M42" s="184"/>
      <c r="N42" s="184"/>
      <c r="O42" s="184"/>
      <c r="P42" s="184"/>
      <c r="Q42" s="184"/>
      <c r="R42" s="184"/>
      <c r="S42" s="184"/>
    </row>
    <row r="43" spans="1:19" x14ac:dyDescent="0.5">
      <c r="B43" s="185" t="str">
        <f>TEXT(F39,"##")&amp;" hp Motor Equations"</f>
        <v>30 hp Motor Equations</v>
      </c>
      <c r="C43" s="186" t="s">
        <v>167</v>
      </c>
      <c r="D43" s="187"/>
      <c r="E43" s="187"/>
      <c r="F43" s="187"/>
      <c r="G43" s="187"/>
      <c r="H43" s="187"/>
      <c r="I43" s="187"/>
      <c r="J43" s="187"/>
      <c r="K43" s="187"/>
      <c r="L43" s="187"/>
      <c r="M43" s="187"/>
      <c r="N43" s="187"/>
      <c r="O43" s="187"/>
      <c r="P43" s="187"/>
      <c r="Q43" s="187"/>
      <c r="R43" s="187"/>
      <c r="S43" s="187"/>
    </row>
    <row r="44" spans="1:19" x14ac:dyDescent="0.5">
      <c r="B44" s="188" t="s">
        <v>165</v>
      </c>
      <c r="C44" s="189" t="s">
        <v>168</v>
      </c>
      <c r="D44" s="190"/>
      <c r="E44" s="190"/>
      <c r="F44" s="190"/>
      <c r="G44" s="190"/>
      <c r="H44" s="190"/>
      <c r="I44" s="190"/>
      <c r="J44" s="190"/>
      <c r="K44" s="190"/>
      <c r="L44" s="190"/>
      <c r="M44" s="190"/>
      <c r="N44" s="190"/>
      <c r="O44" s="190"/>
      <c r="P44" s="190"/>
      <c r="Q44" s="190"/>
      <c r="R44" s="190"/>
      <c r="S44" s="190"/>
    </row>
    <row r="45" spans="1:19" x14ac:dyDescent="0.5">
      <c r="A45" s="13"/>
      <c r="B45" s="191" t="str">
        <f>TEXT(I39,"##")&amp;" hp Motor Equations"</f>
        <v>40 hp Motor Equations</v>
      </c>
      <c r="C45" s="192" t="s">
        <v>169</v>
      </c>
      <c r="D45" s="193"/>
      <c r="E45" s="193"/>
      <c r="F45" s="193"/>
      <c r="G45" s="193"/>
      <c r="H45" s="193"/>
      <c r="I45" s="193"/>
      <c r="J45" s="193"/>
      <c r="K45" s="193"/>
      <c r="L45" s="193"/>
      <c r="M45" s="193"/>
      <c r="N45" s="193"/>
      <c r="O45" s="193"/>
      <c r="P45" s="193"/>
      <c r="Q45" s="193"/>
      <c r="R45" s="193"/>
      <c r="S45" s="193"/>
    </row>
    <row r="46" spans="1:19" x14ac:dyDescent="0.5">
      <c r="A46" s="13"/>
      <c r="B46" s="194" t="s">
        <v>165</v>
      </c>
      <c r="C46" s="195" t="s">
        <v>170</v>
      </c>
      <c r="D46" s="196"/>
      <c r="E46" s="196"/>
      <c r="F46" s="196"/>
      <c r="G46" s="196"/>
      <c r="H46" s="196"/>
      <c r="I46" s="196"/>
      <c r="J46" s="196"/>
      <c r="K46" s="196"/>
      <c r="L46" s="196"/>
      <c r="M46" s="196"/>
      <c r="N46" s="196"/>
      <c r="O46" s="196"/>
      <c r="P46" s="196"/>
      <c r="Q46" s="196"/>
      <c r="R46" s="196"/>
      <c r="S46" s="196"/>
    </row>
    <row r="47" spans="1:19" x14ac:dyDescent="0.5">
      <c r="B47" s="185" t="str">
        <f>TEXT(L39,"##")&amp;" hp Motor Equations"</f>
        <v>75 hp Motor Equations</v>
      </c>
      <c r="C47" s="187" t="s">
        <v>171</v>
      </c>
      <c r="D47" s="187"/>
      <c r="E47" s="187"/>
      <c r="F47" s="187"/>
      <c r="G47" s="187"/>
      <c r="H47" s="187"/>
      <c r="I47" s="187"/>
      <c r="J47" s="187"/>
      <c r="K47" s="187"/>
      <c r="L47" s="187"/>
      <c r="M47" s="187"/>
      <c r="N47" s="187"/>
      <c r="O47" s="187"/>
      <c r="P47" s="187"/>
      <c r="Q47" s="187"/>
      <c r="R47" s="187"/>
      <c r="S47" s="187"/>
    </row>
    <row r="48" spans="1:19" x14ac:dyDescent="0.5">
      <c r="B48" s="188" t="s">
        <v>165</v>
      </c>
      <c r="C48" s="189" t="s">
        <v>172</v>
      </c>
      <c r="D48" s="190"/>
      <c r="E48" s="190"/>
      <c r="F48" s="190"/>
      <c r="G48" s="190"/>
      <c r="H48" s="190"/>
      <c r="I48" s="190"/>
      <c r="J48" s="190"/>
      <c r="K48" s="190"/>
      <c r="L48" s="190"/>
      <c r="M48" s="190"/>
      <c r="N48" s="190"/>
      <c r="O48" s="190"/>
      <c r="P48" s="190"/>
      <c r="Q48" s="190"/>
      <c r="R48" s="190"/>
      <c r="S48" s="190"/>
    </row>
    <row r="49" spans="1:19" x14ac:dyDescent="0.5">
      <c r="A49" s="13"/>
      <c r="B49" s="191" t="str">
        <f>TEXT(O39,"##")&amp;" hp Motor Equations"</f>
        <v>100 hp Motor Equations</v>
      </c>
      <c r="C49" s="192" t="s">
        <v>173</v>
      </c>
      <c r="D49" s="193"/>
      <c r="E49" s="193"/>
      <c r="F49" s="193"/>
      <c r="G49" s="193"/>
      <c r="H49" s="193"/>
      <c r="I49" s="193"/>
      <c r="J49" s="193"/>
      <c r="K49" s="193"/>
      <c r="L49" s="193"/>
      <c r="M49" s="193"/>
      <c r="N49" s="193"/>
      <c r="O49" s="193"/>
      <c r="P49" s="193"/>
      <c r="Q49" s="193"/>
      <c r="R49" s="193"/>
      <c r="S49" s="193"/>
    </row>
    <row r="50" spans="1:19" x14ac:dyDescent="0.5">
      <c r="A50" s="13"/>
      <c r="B50" s="194" t="s">
        <v>165</v>
      </c>
      <c r="C50" s="195" t="s">
        <v>174</v>
      </c>
      <c r="D50" s="196"/>
      <c r="E50" s="196"/>
      <c r="F50" s="196"/>
      <c r="G50" s="196"/>
      <c r="H50" s="196"/>
      <c r="I50" s="196"/>
      <c r="J50" s="196"/>
      <c r="K50" s="196"/>
      <c r="L50" s="196"/>
      <c r="M50" s="196"/>
      <c r="N50" s="196"/>
      <c r="O50" s="196"/>
      <c r="P50" s="196"/>
      <c r="Q50" s="196"/>
      <c r="R50" s="196"/>
      <c r="S50" s="196"/>
    </row>
    <row r="51" spans="1:19" x14ac:dyDescent="0.5">
      <c r="A51" s="13"/>
      <c r="B51" s="14"/>
    </row>
    <row r="52" spans="1:19" x14ac:dyDescent="0.5">
      <c r="A52" s="13"/>
      <c r="B52" s="14"/>
      <c r="C52" s="12"/>
    </row>
    <row r="53" spans="1:19" x14ac:dyDescent="0.5">
      <c r="A53" s="13"/>
      <c r="B53" s="14"/>
      <c r="C53" s="12"/>
    </row>
    <row r="54" spans="1:19" x14ac:dyDescent="0.5">
      <c r="A54" s="13"/>
      <c r="B54" s="15"/>
      <c r="C54" s="12"/>
    </row>
    <row r="55" spans="1:19" x14ac:dyDescent="0.5">
      <c r="A55" s="13"/>
      <c r="B55" s="14"/>
      <c r="C55" s="12"/>
    </row>
    <row r="56" spans="1:19" x14ac:dyDescent="0.5">
      <c r="A56" s="13"/>
      <c r="C56" s="12"/>
    </row>
    <row r="57" spans="1:19" x14ac:dyDescent="0.5">
      <c r="A57" s="13"/>
      <c r="C57" s="12"/>
    </row>
  </sheetData>
  <mergeCells count="1">
    <mergeCell ref="B10:P10"/>
  </mergeCells>
  <hyperlinks>
    <hyperlink ref="D20" location="'Motor Eff Data'!B41" display="Link to Equation"/>
    <hyperlink ref="M20" location="'Motor Eff Data'!B47" display="Link to Equation"/>
    <hyperlink ref="B42" location="'Motor Eff Data'!B19" display="Back to Top"/>
    <hyperlink ref="B48" location="'Motor Eff Data'!B19" display="Back to Top"/>
    <hyperlink ref="J20" location="'Motor Eff Data'!B45" display="Link to Equation"/>
    <hyperlink ref="B46" location="'Motor Eff Data'!B19" display="Back to Top"/>
    <hyperlink ref="P20" location="'Motor Eff Data'!B49" display="Link to Equation"/>
    <hyperlink ref="B50" location="'Motor Eff Data'!B19" display="Back to Top"/>
    <hyperlink ref="G20" location="'Motor Eff Data'!B43" display="Link to Equation"/>
    <hyperlink ref="B44" location="'Motor Eff Data'!B19" display="Back to Top"/>
  </hyperlinks>
  <pageMargins left="0.75" right="0.75" top="1" bottom="1" header="0.5" footer="0.5"/>
  <pageSetup scale="61" orientation="landscape" r:id="rId1"/>
  <headerFooter alignWithMargins="0">
    <oddFooter>&amp;LPage &amp;P of &amp;N of Sheet &amp;A of File &amp;F
Printed on &amp;D at &amp;T
DAS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1"/>
  </sheetPr>
  <dimension ref="A1:X49"/>
  <sheetViews>
    <sheetView defaultGridColor="0" topLeftCell="A16" colorId="22" zoomScale="80" zoomScaleNormal="80" workbookViewId="0">
      <selection activeCell="D27" sqref="D27"/>
    </sheetView>
  </sheetViews>
  <sheetFormatPr defaultColWidth="15.703125" defaultRowHeight="18.7" x14ac:dyDescent="0.5"/>
  <cols>
    <col min="1" max="1" width="22.41015625" style="16" customWidth="1"/>
    <col min="2" max="2" width="29.5859375" style="17" customWidth="1"/>
    <col min="3" max="14" width="21" style="16" customWidth="1"/>
    <col min="15" max="15" width="21" style="198" customWidth="1"/>
    <col min="16" max="20" width="21" style="16" customWidth="1"/>
    <col min="21" max="21" width="19.5859375" style="16" customWidth="1"/>
    <col min="22" max="23" width="15.703125" style="16"/>
    <col min="24" max="25" width="21" style="16" customWidth="1"/>
    <col min="26" max="27" width="22.41015625" style="16" customWidth="1"/>
    <col min="28" max="28" width="15.703125" style="16"/>
    <col min="29" max="29" width="16.703125" style="16" customWidth="1"/>
    <col min="30" max="30" width="21" style="16" customWidth="1"/>
    <col min="31" max="16384" width="15.703125" style="16"/>
  </cols>
  <sheetData>
    <row r="1" spans="1:24" s="113" customFormat="1" ht="138.75" customHeight="1" x14ac:dyDescent="0.5">
      <c r="B1" s="114"/>
      <c r="C1" s="115"/>
      <c r="O1" s="197"/>
    </row>
    <row r="2" spans="1:24" ht="19.5" customHeight="1" x14ac:dyDescent="0.5">
      <c r="A2" s="47" t="s">
        <v>0</v>
      </c>
      <c r="B2" s="116"/>
      <c r="C2" s="117"/>
    </row>
    <row r="3" spans="1:24" ht="19.5" customHeight="1" x14ac:dyDescent="0.5">
      <c r="A3" s="47" t="s">
        <v>1</v>
      </c>
      <c r="B3" s="116"/>
      <c r="C3" s="117"/>
    </row>
    <row r="4" spans="1:24" x14ac:dyDescent="0.5">
      <c r="A4" s="45" t="s">
        <v>2</v>
      </c>
      <c r="B4" s="118"/>
      <c r="C4" s="117"/>
      <c r="D4" s="117"/>
      <c r="E4" s="117"/>
      <c r="F4" s="117"/>
      <c r="G4" s="117"/>
      <c r="H4" s="117"/>
      <c r="I4" s="117"/>
      <c r="J4" s="117"/>
      <c r="K4" s="117"/>
      <c r="L4" s="117"/>
      <c r="M4" s="117"/>
      <c r="N4" s="117"/>
    </row>
    <row r="5" spans="1:24" s="120" customFormat="1" x14ac:dyDescent="0.5">
      <c r="A5" s="119" t="s">
        <v>3</v>
      </c>
      <c r="B5" s="42">
        <v>42580.618595023145</v>
      </c>
      <c r="C5" s="31"/>
      <c r="D5" s="31"/>
      <c r="E5" s="31"/>
      <c r="F5" s="31"/>
      <c r="G5" s="31"/>
      <c r="H5" s="31"/>
      <c r="I5" s="31"/>
      <c r="J5" s="31"/>
      <c r="K5" s="31"/>
      <c r="L5" s="31"/>
      <c r="M5" s="31"/>
      <c r="N5" s="31"/>
      <c r="O5" s="28"/>
      <c r="P5" s="28"/>
      <c r="Q5" s="30"/>
      <c r="R5" s="28"/>
      <c r="S5" s="28"/>
      <c r="T5" s="28"/>
      <c r="U5" s="28"/>
      <c r="V5" s="29"/>
      <c r="W5" s="28"/>
      <c r="X5" s="28"/>
    </row>
    <row r="6" spans="1:24" s="120" customFormat="1" x14ac:dyDescent="0.5">
      <c r="A6" s="119" t="s">
        <v>4</v>
      </c>
      <c r="B6" s="32" t="s">
        <v>7</v>
      </c>
      <c r="C6" s="31"/>
      <c r="D6" s="31"/>
      <c r="E6" s="31"/>
      <c r="F6" s="31"/>
      <c r="G6" s="31"/>
      <c r="H6" s="31"/>
      <c r="I6" s="31"/>
      <c r="J6" s="31"/>
      <c r="K6" s="31"/>
      <c r="L6" s="31"/>
      <c r="M6" s="31"/>
      <c r="N6" s="31"/>
      <c r="O6" s="28"/>
      <c r="P6" s="28"/>
      <c r="Q6" s="30"/>
      <c r="R6" s="28"/>
      <c r="S6" s="28"/>
      <c r="T6" s="28"/>
      <c r="U6" s="28"/>
      <c r="V6" s="29"/>
      <c r="W6" s="28"/>
      <c r="X6" s="28"/>
    </row>
    <row r="7" spans="1:24" s="120" customFormat="1" x14ac:dyDescent="0.5">
      <c r="A7" s="119" t="s">
        <v>6</v>
      </c>
      <c r="B7" s="32" t="s">
        <v>7</v>
      </c>
      <c r="C7" s="31"/>
      <c r="D7" s="31"/>
      <c r="E7" s="31"/>
      <c r="F7" s="31"/>
      <c r="G7" s="31"/>
      <c r="H7" s="31"/>
      <c r="I7" s="31"/>
      <c r="J7" s="31"/>
      <c r="K7" s="31"/>
      <c r="L7" s="31"/>
      <c r="M7" s="31"/>
      <c r="N7" s="31"/>
      <c r="O7" s="28"/>
      <c r="P7" s="28"/>
      <c r="Q7" s="30"/>
      <c r="R7" s="28"/>
      <c r="S7" s="28"/>
      <c r="T7" s="28"/>
      <c r="U7" s="28"/>
      <c r="V7" s="29"/>
      <c r="W7" s="28"/>
      <c r="X7" s="28"/>
    </row>
    <row r="8" spans="1:24" s="120" customFormat="1" x14ac:dyDescent="0.5">
      <c r="A8" s="119" t="s">
        <v>8</v>
      </c>
      <c r="B8" s="32" t="s">
        <v>9</v>
      </c>
      <c r="C8" s="31"/>
      <c r="D8" s="31"/>
      <c r="E8" s="31"/>
      <c r="F8" s="31"/>
      <c r="G8" s="31"/>
      <c r="H8" s="31"/>
      <c r="I8" s="31"/>
      <c r="J8" s="31"/>
      <c r="K8" s="31"/>
      <c r="L8" s="31"/>
      <c r="M8" s="31"/>
      <c r="N8" s="31"/>
      <c r="O8" s="28"/>
      <c r="P8" s="28"/>
      <c r="Q8" s="30"/>
      <c r="R8" s="28"/>
      <c r="S8" s="28"/>
      <c r="T8" s="28"/>
      <c r="U8" s="28"/>
      <c r="V8" s="29"/>
      <c r="W8" s="28"/>
      <c r="X8" s="28"/>
    </row>
    <row r="9" spans="1:24" s="120" customFormat="1" x14ac:dyDescent="0.5">
      <c r="A9" s="121" t="s">
        <v>10</v>
      </c>
      <c r="B9" s="31"/>
      <c r="C9" s="31"/>
      <c r="D9" s="31"/>
      <c r="E9" s="31"/>
      <c r="F9" s="31"/>
      <c r="G9" s="31"/>
      <c r="H9" s="31"/>
      <c r="I9" s="31"/>
      <c r="J9" s="31"/>
      <c r="K9" s="31"/>
      <c r="L9" s="31"/>
      <c r="M9" s="31"/>
      <c r="N9" s="31"/>
      <c r="O9" s="28"/>
      <c r="P9" s="28"/>
      <c r="Q9" s="28"/>
      <c r="R9" s="28"/>
      <c r="S9" s="28"/>
      <c r="T9" s="28"/>
      <c r="U9" s="28"/>
      <c r="V9" s="29"/>
      <c r="W9" s="28"/>
      <c r="X9" s="28"/>
    </row>
    <row r="10" spans="1:24" s="120" customFormat="1" ht="60" customHeight="1" x14ac:dyDescent="0.5">
      <c r="A10" s="122">
        <v>1</v>
      </c>
      <c r="B10" s="243" t="s">
        <v>175</v>
      </c>
      <c r="C10" s="243"/>
      <c r="D10" s="243"/>
      <c r="E10" s="243"/>
      <c r="F10" s="243"/>
      <c r="G10" s="243"/>
      <c r="H10" s="243"/>
      <c r="I10" s="243"/>
      <c r="J10" s="243"/>
      <c r="K10" s="243"/>
      <c r="L10" s="243"/>
      <c r="M10" s="243"/>
      <c r="N10" s="243"/>
      <c r="O10" s="243"/>
      <c r="P10" s="243"/>
      <c r="Q10" s="243"/>
      <c r="R10" s="243"/>
      <c r="S10" s="243"/>
      <c r="T10" s="28"/>
      <c r="U10" s="28"/>
      <c r="V10" s="29"/>
      <c r="W10" s="28"/>
      <c r="X10" s="28"/>
    </row>
    <row r="11" spans="1:24" s="120" customFormat="1" x14ac:dyDescent="0.5">
      <c r="A11" s="122">
        <f>A10+1</f>
        <v>2</v>
      </c>
      <c r="B11" s="32" t="s">
        <v>176</v>
      </c>
      <c r="C11" s="31"/>
      <c r="D11" s="31"/>
      <c r="E11" s="31"/>
      <c r="F11" s="31"/>
      <c r="G11" s="31"/>
      <c r="H11" s="31"/>
      <c r="I11" s="31"/>
      <c r="J11" s="31"/>
      <c r="K11" s="31"/>
      <c r="L11" s="31"/>
      <c r="M11" s="31"/>
      <c r="N11" s="31"/>
      <c r="O11" s="28"/>
      <c r="P11" s="28"/>
      <c r="Q11" s="30"/>
      <c r="R11" s="28"/>
      <c r="S11" s="28"/>
      <c r="T11" s="28"/>
      <c r="U11" s="28"/>
      <c r="V11" s="29"/>
      <c r="W11" s="28"/>
      <c r="X11" s="28"/>
    </row>
    <row r="12" spans="1:24" s="120" customFormat="1" x14ac:dyDescent="0.5">
      <c r="A12" s="122">
        <f>A11+1</f>
        <v>3</v>
      </c>
      <c r="B12" s="32"/>
      <c r="C12" s="31"/>
      <c r="D12" s="31"/>
      <c r="E12" s="31"/>
      <c r="F12" s="31"/>
      <c r="G12" s="31"/>
      <c r="H12" s="31"/>
      <c r="I12" s="31"/>
      <c r="J12" s="31"/>
      <c r="K12" s="31"/>
      <c r="L12" s="31"/>
      <c r="M12" s="31"/>
      <c r="N12" s="31"/>
      <c r="O12" s="28"/>
      <c r="P12" s="28"/>
      <c r="Q12" s="30"/>
      <c r="R12" s="28"/>
      <c r="S12" s="28"/>
      <c r="T12" s="28"/>
      <c r="U12" s="28"/>
      <c r="V12" s="29"/>
      <c r="W12" s="28"/>
      <c r="X12" s="28"/>
    </row>
    <row r="13" spans="1:24" s="120" customFormat="1" x14ac:dyDescent="0.5">
      <c r="A13" s="122">
        <f>A12+1</f>
        <v>4</v>
      </c>
      <c r="B13" s="32"/>
      <c r="C13" s="31"/>
      <c r="D13" s="31"/>
      <c r="E13" s="31"/>
      <c r="F13" s="31"/>
      <c r="G13" s="31"/>
      <c r="H13" s="31"/>
      <c r="I13" s="31"/>
      <c r="J13" s="31"/>
      <c r="K13" s="31"/>
      <c r="L13" s="31"/>
      <c r="M13" s="31"/>
      <c r="N13" s="31"/>
      <c r="O13" s="28"/>
      <c r="P13" s="28"/>
      <c r="Q13" s="30"/>
      <c r="R13" s="28"/>
      <c r="S13" s="28"/>
      <c r="T13" s="28"/>
      <c r="U13" s="28"/>
      <c r="V13" s="29"/>
      <c r="W13" s="28"/>
      <c r="X13" s="28"/>
    </row>
    <row r="14" spans="1:24" s="120" customFormat="1" x14ac:dyDescent="0.5">
      <c r="A14" s="122">
        <v>5</v>
      </c>
      <c r="B14" s="32"/>
      <c r="C14" s="31"/>
      <c r="D14" s="31"/>
      <c r="E14" s="31"/>
      <c r="F14" s="31"/>
      <c r="G14" s="31"/>
      <c r="H14" s="31"/>
      <c r="I14" s="31"/>
      <c r="J14" s="31"/>
      <c r="K14" s="31"/>
      <c r="L14" s="31"/>
      <c r="M14" s="31"/>
      <c r="N14" s="31"/>
      <c r="O14" s="28"/>
      <c r="P14" s="28"/>
      <c r="Q14" s="30"/>
      <c r="R14" s="28"/>
      <c r="S14" s="28"/>
      <c r="T14" s="28"/>
      <c r="U14" s="28"/>
      <c r="V14" s="29"/>
      <c r="W14" s="28"/>
      <c r="X14" s="28"/>
    </row>
    <row r="15" spans="1:24" s="120" customFormat="1" x14ac:dyDescent="0.5">
      <c r="A15" s="122">
        <v>6</v>
      </c>
      <c r="B15" s="32"/>
      <c r="C15" s="31"/>
      <c r="D15" s="31"/>
      <c r="E15" s="31"/>
      <c r="F15" s="31"/>
      <c r="G15" s="31"/>
      <c r="H15" s="31"/>
      <c r="I15" s="31"/>
      <c r="J15" s="31"/>
      <c r="K15" s="31"/>
      <c r="L15" s="31"/>
      <c r="M15" s="31"/>
      <c r="N15" s="31"/>
      <c r="O15" s="28"/>
      <c r="P15" s="28"/>
      <c r="Q15" s="30"/>
      <c r="R15" s="28"/>
      <c r="S15" s="28"/>
      <c r="T15" s="28"/>
      <c r="U15" s="28"/>
      <c r="V15" s="29"/>
      <c r="W15" s="28"/>
      <c r="X15" s="28"/>
    </row>
    <row r="16" spans="1:24" s="120" customFormat="1" x14ac:dyDescent="0.5">
      <c r="A16" s="122">
        <v>7</v>
      </c>
      <c r="B16" s="32"/>
      <c r="C16" s="31"/>
      <c r="D16" s="31"/>
      <c r="E16" s="31"/>
      <c r="F16" s="31"/>
      <c r="G16" s="31"/>
      <c r="H16" s="31"/>
      <c r="I16" s="31"/>
      <c r="J16" s="31"/>
      <c r="K16" s="31"/>
      <c r="L16" s="31"/>
      <c r="M16" s="31"/>
      <c r="N16" s="31"/>
      <c r="O16" s="28"/>
      <c r="P16" s="28"/>
      <c r="Q16" s="30"/>
      <c r="R16" s="28"/>
      <c r="S16" s="28"/>
      <c r="T16" s="28"/>
      <c r="U16" s="28"/>
      <c r="V16" s="29"/>
      <c r="W16" s="28"/>
      <c r="X16" s="28"/>
    </row>
    <row r="17" spans="1:24" s="120" customFormat="1" x14ac:dyDescent="0.5">
      <c r="A17" s="122">
        <v>8</v>
      </c>
      <c r="B17" s="32"/>
      <c r="C17" s="31"/>
      <c r="D17" s="31"/>
      <c r="E17" s="31"/>
      <c r="F17" s="31"/>
      <c r="G17" s="31"/>
      <c r="H17" s="31"/>
      <c r="I17" s="31"/>
      <c r="J17" s="31"/>
      <c r="K17" s="31"/>
      <c r="L17" s="31"/>
      <c r="M17" s="31"/>
      <c r="N17" s="31"/>
      <c r="O17" s="28"/>
      <c r="P17" s="28"/>
      <c r="Q17" s="30"/>
      <c r="R17" s="28"/>
      <c r="S17" s="28"/>
      <c r="T17" s="28"/>
      <c r="U17" s="28"/>
      <c r="V17" s="29"/>
      <c r="W17" s="28"/>
      <c r="X17" s="28"/>
    </row>
    <row r="18" spans="1:24" x14ac:dyDescent="0.5">
      <c r="A18" s="124"/>
      <c r="B18" s="125"/>
    </row>
    <row r="19" spans="1:24" ht="55" x14ac:dyDescent="0.5">
      <c r="B19" s="126" t="s">
        <v>159</v>
      </c>
      <c r="C19" s="127" t="s">
        <v>177</v>
      </c>
      <c r="D19" s="128" t="str">
        <f>"Curve From "&amp;TEXT(D28,"##")&amp;" hp Efficiency Equations"</f>
        <v>Curve From 20 hp Efficiency Equations</v>
      </c>
      <c r="E19" s="129" t="str">
        <f>TEXT(F28,"##")&amp;" hp VFD Load"</f>
        <v>25 hp VFD Load</v>
      </c>
      <c r="F19" s="129" t="str">
        <f>"Projected "&amp;TEXT(F28,"##")&amp;" hp VFD Efficiency Curve"</f>
        <v>Projected 25 hp VFD Efficiency Curve</v>
      </c>
      <c r="G19" s="130" t="str">
        <f>"Curve From "&amp;TEXT(F28,"##")&amp;" hp Efficiency Equations"</f>
        <v>Curve From 25 hp Efficiency Equations</v>
      </c>
      <c r="H19" s="131" t="str">
        <f>TEXT(I28,"##")&amp;" hp VFD Load"</f>
        <v>30 hp VFD Load</v>
      </c>
      <c r="I19" s="131" t="str">
        <f>"Projected "&amp;TEXT(I28,"##")&amp;" hp VFD Efficiency Curve"</f>
        <v>Projected 30 hp VFD Efficiency Curve</v>
      </c>
      <c r="J19" s="131" t="str">
        <f>"Curve From "&amp;TEXT(I28,"##")&amp;" hp Efficiency Equations"</f>
        <v>Curve From 30 hp Efficiency Equations</v>
      </c>
      <c r="K19" s="129" t="str">
        <f>TEXT(L28,"##")&amp;" hp VFD Load"</f>
        <v>40 hp VFD Load</v>
      </c>
      <c r="L19" s="129" t="str">
        <f>"Projected "&amp;TEXT(L28,"##")&amp;" hp VFD Efficiency Curve"</f>
        <v>Projected 40 hp VFD Efficiency Curve</v>
      </c>
      <c r="M19" s="130" t="str">
        <f>"Curve From "&amp;TEXT(L28,"##")&amp;" hp Efficiency Equations"</f>
        <v>Curve From 40 hp Efficiency Equations</v>
      </c>
      <c r="N19" s="131" t="str">
        <f>TEXT(O28,"##")&amp;" hp VFD Load"</f>
        <v>75 hp VFD Load</v>
      </c>
      <c r="O19" s="131" t="str">
        <f>"Projected "&amp;TEXT(O28,"##")&amp;" hp VFD Efficiency Curve"</f>
        <v>Projected 75 hp VFD Efficiency Curve</v>
      </c>
      <c r="P19" s="131" t="str">
        <f>"Curve From "&amp;TEXT(O28,"##")&amp;" hp Efficiency Equations"</f>
        <v>Curve From 75 hp Efficiency Equations</v>
      </c>
      <c r="Q19" s="129" t="str">
        <f>TEXT(R28,"##")&amp;" hp VFD Load"</f>
        <v>100 hp VFD Load</v>
      </c>
      <c r="R19" s="129" t="str">
        <f>"Projected "&amp;TEXT(R28,"##")&amp;" hp VFD Efficiency Curve"</f>
        <v>Projected 100 hp VFD Efficiency Curve</v>
      </c>
      <c r="S19" s="130" t="str">
        <f>"Curve From "&amp;TEXT(R28,"##")&amp;" hp Efficiency Equations"</f>
        <v>Curve From 100 hp Efficiency Equations</v>
      </c>
    </row>
    <row r="20" spans="1:24" x14ac:dyDescent="0.5">
      <c r="B20" s="132"/>
      <c r="C20" s="133"/>
      <c r="D20" s="199" t="s">
        <v>161</v>
      </c>
      <c r="E20" s="135"/>
      <c r="F20" s="136"/>
      <c r="G20" s="199" t="s">
        <v>161</v>
      </c>
      <c r="H20" s="137"/>
      <c r="I20" s="137"/>
      <c r="J20" s="199" t="s">
        <v>161</v>
      </c>
      <c r="K20" s="135"/>
      <c r="L20" s="136"/>
      <c r="M20" s="199" t="s">
        <v>161</v>
      </c>
      <c r="N20" s="137"/>
      <c r="O20" s="137"/>
      <c r="P20" s="199" t="s">
        <v>161</v>
      </c>
      <c r="Q20" s="135"/>
      <c r="R20" s="136"/>
      <c r="S20" s="199" t="s">
        <v>161</v>
      </c>
    </row>
    <row r="21" spans="1:24" x14ac:dyDescent="0.5">
      <c r="A21" s="13"/>
      <c r="B21" s="138">
        <f>B47</f>
        <v>0.32</v>
      </c>
      <c r="C21" s="139">
        <f>B48</f>
        <v>0.47</v>
      </c>
      <c r="D21" s="140">
        <f>0.178899082568807*(B21)+0.412752293577982</f>
        <v>0.4700000000000002</v>
      </c>
      <c r="E21" s="141">
        <f t="shared" ref="E21:E27" si="0">($B21/$D$28)*F$28</f>
        <v>0.4</v>
      </c>
      <c r="F21" s="142">
        <f t="shared" ref="F21:F27" si="1">($F$29/$D$29)*D21</f>
        <v>0.4700000000000002</v>
      </c>
      <c r="G21" s="143">
        <f xml:space="preserve"> 0.143332658530706*(E21)+0.412666936587718</f>
        <v>0.47000000000000042</v>
      </c>
      <c r="H21" s="144">
        <f t="shared" ref="H21:H27" si="2">($B21/$D$28)*I$28</f>
        <v>0.48</v>
      </c>
      <c r="I21" s="145">
        <f t="shared" ref="I21:I27" si="3">($F$29/$D$29)*G21</f>
        <v>0.47000000000000042</v>
      </c>
      <c r="J21" s="145">
        <f xml:space="preserve"> 0.113590215146375*(H21)+0.41547669672974</f>
        <v>0.47000000000000003</v>
      </c>
      <c r="K21" s="141">
        <f t="shared" ref="K21:K27" si="4">($B21/$D$28)*L$28</f>
        <v>0.64</v>
      </c>
      <c r="L21" s="142">
        <f t="shared" ref="L21:L27" si="5">($L$29/$D$29)*D21</f>
        <v>0.4700000000000002</v>
      </c>
      <c r="M21" s="143">
        <f>0.0895829115816913*(K21)+0.412666936587718</f>
        <v>0.47000000000000047</v>
      </c>
      <c r="N21" s="144">
        <f t="shared" ref="N21:N27" si="6">($B21/$D$28)*O$28</f>
        <v>1.2</v>
      </c>
      <c r="O21" s="145">
        <f t="shared" ref="O21:O27" si="7">($O$29/$D$29)*D21</f>
        <v>0.4700000000000002</v>
      </c>
      <c r="P21" s="145">
        <f xml:space="preserve"> 0.0477775528435687*(N21)+0.412666936587718</f>
        <v>0.47000000000000047</v>
      </c>
      <c r="Q21" s="141">
        <f t="shared" ref="Q21:Q27" si="8">($B21/$D$28)*R$28</f>
        <v>1.6</v>
      </c>
      <c r="R21" s="142">
        <f t="shared" ref="R21:R27" si="9">($R$29/$D$29)*D21</f>
        <v>0.4700000000000002</v>
      </c>
      <c r="S21" s="143">
        <f xml:space="preserve"> 0.0358331646326765*(Q21)+ 0.412666936587718</f>
        <v>0.47000000000000042</v>
      </c>
    </row>
    <row r="22" spans="1:24" x14ac:dyDescent="0.5">
      <c r="A22" s="13"/>
      <c r="B22" s="154">
        <f>C47</f>
        <v>2.5</v>
      </c>
      <c r="C22" s="155">
        <f>C48</f>
        <v>0.86</v>
      </c>
      <c r="D22" s="148">
        <f t="shared" ref="D22:D27" si="10">(-0.0000143603701844575*((B22)^4))+(0.000712680369733099*((B22)^3))-(0.0124480581456323*((B22)^2))+(0.0924308529010355*B22)+0.696730046837038</f>
        <v>0.86058149449617416</v>
      </c>
      <c r="E22" s="156">
        <f t="shared" si="0"/>
        <v>3.125</v>
      </c>
      <c r="F22" s="157">
        <f t="shared" si="1"/>
        <v>0.86058149449617416</v>
      </c>
      <c r="G22" s="158">
        <f>(-0.0000028366163327409*((E22)^4))+( 0.000211164553995585*((E22)^3))-(0.00553247028695049*((E22)^2))+(0.0616205686009675*E22)+0.696730046837038</f>
        <v>0.84144000352864823</v>
      </c>
      <c r="H22" s="159">
        <f t="shared" si="2"/>
        <v>3.75</v>
      </c>
      <c r="I22" s="160">
        <f t="shared" si="3"/>
        <v>0.84144000352864823</v>
      </c>
      <c r="J22" s="160">
        <f>(-3.80965434349997E-06*((H22)^4))+(0.000283124239357158*((H22)^3))-(0.00738946953923258*((H22)^2))+(0.0811654961599903*H22)+0.626913821114744</f>
        <v>0.84154702210121024</v>
      </c>
      <c r="K22" s="156">
        <f t="shared" si="4"/>
        <v>5</v>
      </c>
      <c r="L22" s="157">
        <f t="shared" si="5"/>
        <v>0.86058149449617416</v>
      </c>
      <c r="M22" s="158">
        <f t="shared" ref="M22:M27" si="11">(-8.9752313652599E-07*((K22)^4))+(0.0000890850462163077*((K22)^3))-(0.00311201453639731*((K22)^2))+(0.0462154264502771*K22)+0.696730046839403</f>
        <v>0.86058149449756538</v>
      </c>
      <c r="N22" s="159">
        <f t="shared" si="6"/>
        <v>9.375</v>
      </c>
      <c r="O22" s="160">
        <f t="shared" si="7"/>
        <v>0.86058149449617416</v>
      </c>
      <c r="P22" s="160">
        <f t="shared" ref="P22:P27" si="12">(-0.0000000726173781183*((N22)^4))+(0.000013514531455726*((N22)^3))-( 0.000885195245914718*((N22)^2))+(0.0246482274403914*N22)+0.696730046836388</f>
        <v>0.860581494496369</v>
      </c>
      <c r="Q22" s="156">
        <f t="shared" si="8"/>
        <v>12.5</v>
      </c>
      <c r="R22" s="157">
        <f t="shared" si="9"/>
        <v>0.86058149449617416</v>
      </c>
      <c r="S22" s="158">
        <f t="shared" ref="S22:S27" si="13">(-2.297659229506E-08*((Q22)^4))+(5.70144295784271E-06*((Q22)^3))-(0.00049792232582333*((Q22)^2))+(0.0184861705802218*Q22)+0.696730046834165</f>
        <v>0.8605814944937501</v>
      </c>
    </row>
    <row r="23" spans="1:24" x14ac:dyDescent="0.5">
      <c r="A23" s="13"/>
      <c r="B23" s="161">
        <f>D47</f>
        <v>5</v>
      </c>
      <c r="C23" s="162">
        <f>D48</f>
        <v>0.93</v>
      </c>
      <c r="D23" s="140">
        <f t="shared" si="10"/>
        <v>0.92779267255275943</v>
      </c>
      <c r="E23" s="163">
        <f t="shared" si="0"/>
        <v>6.25</v>
      </c>
      <c r="F23" s="164">
        <f t="shared" si="1"/>
        <v>0.92779267255275943</v>
      </c>
      <c r="G23" s="165">
        <f>(-5.88200762753621E-06*((E23)^4))+(0.000364892349301933*((E23)^3))-( 0.00796675721317327*((E23)^2))+(0.0739446823208874*E23)+0.696730046837038</f>
        <v>0.92779267255403652</v>
      </c>
      <c r="H23" s="166">
        <f t="shared" si="2"/>
        <v>7.5</v>
      </c>
      <c r="I23" s="167">
        <f t="shared" si="3"/>
        <v>0.92779267255403652</v>
      </c>
      <c r="J23" s="167">
        <f t="shared" ref="J23:J27" si="14">(-3.80965434349997E-06*((H23)^4))+(0.000283124239357158*((H23)^3))-(0.00738946953923258*((H23)^2))+(0.0811654961599903*H23)+0.626913821114744</f>
        <v>0.92738643476540927</v>
      </c>
      <c r="K23" s="163">
        <f t="shared" si="4"/>
        <v>10</v>
      </c>
      <c r="L23" s="164">
        <f t="shared" si="5"/>
        <v>0.92779267255275943</v>
      </c>
      <c r="M23" s="165">
        <f t="shared" si="11"/>
        <v>0.92779267255349074</v>
      </c>
      <c r="N23" s="166">
        <f t="shared" si="6"/>
        <v>18.75</v>
      </c>
      <c r="O23" s="167">
        <f t="shared" si="7"/>
        <v>0.92779267255275943</v>
      </c>
      <c r="P23" s="167">
        <f t="shared" si="12"/>
        <v>0.92779267255344799</v>
      </c>
      <c r="Q23" s="163">
        <f t="shared" si="8"/>
        <v>25</v>
      </c>
      <c r="R23" s="164">
        <f t="shared" si="9"/>
        <v>0.92779267255275943</v>
      </c>
      <c r="S23" s="165">
        <f t="shared" si="13"/>
        <v>0.92779267255116316</v>
      </c>
    </row>
    <row r="24" spans="1:24" x14ac:dyDescent="0.5">
      <c r="A24" s="13"/>
      <c r="B24" s="154">
        <f>E47</f>
        <v>8.4</v>
      </c>
      <c r="C24" s="155">
        <f>E48</f>
        <v>0.94</v>
      </c>
      <c r="D24" s="148">
        <f t="shared" si="10"/>
        <v>0.94572656397381483</v>
      </c>
      <c r="E24" s="156">
        <f t="shared" si="0"/>
        <v>10.500000000000002</v>
      </c>
      <c r="F24" s="157">
        <f t="shared" si="1"/>
        <v>0.94572656397381483</v>
      </c>
      <c r="G24" s="158">
        <f>(-5.88200762753621E-06*((E24)^4))+(0.000364892349301933*((E24)^3))-( 0.00796675721317327*((E24)^2))+(0.0739446823208874*E24)+0.696730046837038</f>
        <v>0.94572656397647337</v>
      </c>
      <c r="H24" s="159">
        <f t="shared" si="2"/>
        <v>12.600000000000001</v>
      </c>
      <c r="I24" s="160">
        <f t="shared" si="3"/>
        <v>0.94572656397647337</v>
      </c>
      <c r="J24" s="160">
        <f t="shared" si="14"/>
        <v>0.94678048403575477</v>
      </c>
      <c r="K24" s="156">
        <f t="shared" si="4"/>
        <v>16.8</v>
      </c>
      <c r="L24" s="157">
        <f t="shared" si="5"/>
        <v>0.94572656397381483</v>
      </c>
      <c r="M24" s="158">
        <f t="shared" si="11"/>
        <v>0.94572656397381938</v>
      </c>
      <c r="N24" s="159">
        <f t="shared" si="6"/>
        <v>31.500000000000004</v>
      </c>
      <c r="O24" s="160">
        <f t="shared" si="7"/>
        <v>0.94572656397381483</v>
      </c>
      <c r="P24" s="160">
        <f t="shared" si="12"/>
        <v>0.94572656397483834</v>
      </c>
      <c r="Q24" s="156">
        <f t="shared" si="8"/>
        <v>42.000000000000007</v>
      </c>
      <c r="R24" s="157">
        <f t="shared" si="9"/>
        <v>0.94572656397381483</v>
      </c>
      <c r="S24" s="158">
        <f t="shared" si="13"/>
        <v>0.9457265639736081</v>
      </c>
    </row>
    <row r="25" spans="1:24" x14ac:dyDescent="0.5">
      <c r="A25" s="13"/>
      <c r="B25" s="161">
        <f>F47</f>
        <v>10</v>
      </c>
      <c r="C25" s="162">
        <f>F48</f>
        <v>0.95</v>
      </c>
      <c r="D25" s="140">
        <f t="shared" si="10"/>
        <v>0.94530942917268701</v>
      </c>
      <c r="E25" s="163">
        <f t="shared" si="0"/>
        <v>12.5</v>
      </c>
      <c r="F25" s="164">
        <f t="shared" si="1"/>
        <v>0.94530942917268701</v>
      </c>
      <c r="G25" s="165">
        <f>(-5.88200762753621E-06*((E25)^4))+(0.000364892349301933*((E25)^3))-( 0.00796675721317327*((E25)^2))+(0.0739446823208874*E25)+0.696730046837038</f>
        <v>0.94530942917599925</v>
      </c>
      <c r="H25" s="166">
        <f t="shared" si="2"/>
        <v>15</v>
      </c>
      <c r="I25" s="167">
        <f t="shared" si="3"/>
        <v>0.94530942917599925</v>
      </c>
      <c r="J25" s="167">
        <f t="shared" si="14"/>
        <v>0.94444617387799035</v>
      </c>
      <c r="K25" s="163">
        <f t="shared" si="4"/>
        <v>20</v>
      </c>
      <c r="L25" s="164">
        <f t="shared" si="5"/>
        <v>0.94530942917268701</v>
      </c>
      <c r="M25" s="165">
        <f t="shared" si="11"/>
        <v>0.94530942917232408</v>
      </c>
      <c r="N25" s="166">
        <f t="shared" si="6"/>
        <v>37.5</v>
      </c>
      <c r="O25" s="167">
        <f t="shared" si="7"/>
        <v>0.94530942917268701</v>
      </c>
      <c r="P25" s="167">
        <f t="shared" si="12"/>
        <v>0.94530942917377303</v>
      </c>
      <c r="Q25" s="163">
        <f t="shared" si="8"/>
        <v>50</v>
      </c>
      <c r="R25" s="164">
        <f t="shared" si="9"/>
        <v>0.94530942917268701</v>
      </c>
      <c r="S25" s="165">
        <f t="shared" si="13"/>
        <v>0.94530942917314364</v>
      </c>
    </row>
    <row r="26" spans="1:24" x14ac:dyDescent="0.5">
      <c r="A26" s="13"/>
      <c r="B26" s="154">
        <f>G47</f>
        <v>15</v>
      </c>
      <c r="C26" s="155">
        <f>G48</f>
        <v>0.96</v>
      </c>
      <c r="D26" s="148">
        <f t="shared" si="10"/>
        <v>0.96068226484635122</v>
      </c>
      <c r="E26" s="156">
        <f t="shared" si="0"/>
        <v>18.75</v>
      </c>
      <c r="F26" s="157">
        <f t="shared" si="1"/>
        <v>0.96068226484635122</v>
      </c>
      <c r="G26" s="158">
        <f>(-5.88200762753621E-06*((E26)^4))+(0.000364892349301933*((E26)^3))-( 0.00796675721317327*((E26)^2))+(0.0739446823208874*E26)+0.696730046837038</f>
        <v>0.96068226485135122</v>
      </c>
      <c r="H26" s="159">
        <f t="shared" si="2"/>
        <v>22.5</v>
      </c>
      <c r="I26" s="160">
        <f t="shared" si="3"/>
        <v>0.96068226485135122</v>
      </c>
      <c r="J26" s="160">
        <f t="shared" si="14"/>
        <v>0.96080782926099983</v>
      </c>
      <c r="K26" s="156">
        <f t="shared" si="4"/>
        <v>30</v>
      </c>
      <c r="L26" s="157">
        <f t="shared" si="5"/>
        <v>0.96068226484635122</v>
      </c>
      <c r="M26" s="158">
        <f t="shared" si="11"/>
        <v>0.96068226484439301</v>
      </c>
      <c r="N26" s="159">
        <f t="shared" si="6"/>
        <v>56.25</v>
      </c>
      <c r="O26" s="160">
        <f t="shared" si="7"/>
        <v>0.96068226484635122</v>
      </c>
      <c r="P26" s="160">
        <f t="shared" si="12"/>
        <v>0.96068226484716601</v>
      </c>
      <c r="Q26" s="156">
        <f t="shared" si="8"/>
        <v>75</v>
      </c>
      <c r="R26" s="157">
        <f t="shared" si="9"/>
        <v>0.96068226484635122</v>
      </c>
      <c r="S26" s="158">
        <f t="shared" si="13"/>
        <v>0.96068226484857921</v>
      </c>
    </row>
    <row r="27" spans="1:24" x14ac:dyDescent="0.5">
      <c r="A27" s="13"/>
      <c r="B27" s="161">
        <f>K47</f>
        <v>20</v>
      </c>
      <c r="C27" s="162">
        <f>K48</f>
        <v>0.97</v>
      </c>
      <c r="D27" s="140">
        <f t="shared" si="10"/>
        <v>0.96990757495642044</v>
      </c>
      <c r="E27" s="163">
        <f t="shared" si="0"/>
        <v>25</v>
      </c>
      <c r="F27" s="164">
        <f t="shared" si="1"/>
        <v>0.96990757495642044</v>
      </c>
      <c r="G27" s="165">
        <f>(-5.88200762753621E-06*((E27)^4))+(0.000364892349301933*((E27)^3))-( 0.00796675721317327*((E27)^2))+(0.0739446823208874*E27)+0.696730046837038</f>
        <v>0.9699075749623004</v>
      </c>
      <c r="H27" s="166">
        <f t="shared" si="2"/>
        <v>30</v>
      </c>
      <c r="I27" s="167">
        <f t="shared" si="3"/>
        <v>0.9699075749623004</v>
      </c>
      <c r="J27" s="167">
        <f t="shared" si="14"/>
        <v>0.96989056501342108</v>
      </c>
      <c r="K27" s="163">
        <f t="shared" si="4"/>
        <v>40</v>
      </c>
      <c r="L27" s="164">
        <f t="shared" si="5"/>
        <v>0.96990757495642044</v>
      </c>
      <c r="M27" s="165">
        <f t="shared" si="11"/>
        <v>0.96990757495194868</v>
      </c>
      <c r="N27" s="166">
        <f t="shared" si="6"/>
        <v>75</v>
      </c>
      <c r="O27" s="167">
        <f t="shared" si="7"/>
        <v>0.96990757495642044</v>
      </c>
      <c r="P27" s="167">
        <f t="shared" si="12"/>
        <v>0.9699075749555246</v>
      </c>
      <c r="Q27" s="163">
        <f t="shared" si="8"/>
        <v>100</v>
      </c>
      <c r="R27" s="164">
        <f t="shared" si="9"/>
        <v>0.96990757495642044</v>
      </c>
      <c r="S27" s="165">
        <f t="shared" si="13"/>
        <v>0.96990757495975466</v>
      </c>
    </row>
    <row r="28" spans="1:24" x14ac:dyDescent="0.5">
      <c r="A28" s="13"/>
      <c r="B28" s="176"/>
      <c r="C28" s="177" t="s">
        <v>178</v>
      </c>
      <c r="D28" s="200">
        <v>20</v>
      </c>
      <c r="E28" s="201"/>
      <c r="F28" s="202">
        <v>25</v>
      </c>
      <c r="G28" s="178"/>
      <c r="H28" s="160"/>
      <c r="I28" s="203">
        <v>30</v>
      </c>
      <c r="J28" s="160"/>
      <c r="K28" s="201"/>
      <c r="L28" s="202">
        <v>40</v>
      </c>
      <c r="M28" s="178"/>
      <c r="N28" s="160"/>
      <c r="O28" s="203">
        <v>75</v>
      </c>
      <c r="P28" s="160"/>
      <c r="Q28" s="201"/>
      <c r="R28" s="202">
        <v>100</v>
      </c>
      <c r="S28" s="178"/>
    </row>
    <row r="29" spans="1:24" x14ac:dyDescent="0.5">
      <c r="A29" s="19"/>
      <c r="B29" s="168"/>
      <c r="C29" s="169" t="s">
        <v>179</v>
      </c>
      <c r="D29" s="140">
        <f>K48</f>
        <v>0.97</v>
      </c>
      <c r="E29" s="163"/>
      <c r="F29" s="164">
        <v>0.97</v>
      </c>
      <c r="G29" s="173"/>
      <c r="H29" s="167"/>
      <c r="I29" s="167">
        <v>0.97</v>
      </c>
      <c r="J29" s="167"/>
      <c r="K29" s="163"/>
      <c r="L29" s="164">
        <v>0.97</v>
      </c>
      <c r="M29" s="173"/>
      <c r="N29" s="167"/>
      <c r="O29" s="167">
        <v>0.97</v>
      </c>
      <c r="P29" s="167"/>
      <c r="Q29" s="163"/>
      <c r="R29" s="164">
        <v>0.97</v>
      </c>
      <c r="S29" s="173"/>
    </row>
    <row r="30" spans="1:24" x14ac:dyDescent="0.5">
      <c r="A30" s="18"/>
      <c r="B30" s="179" t="str">
        <f>TEXT(D28,"##")&amp;" hp VFD Equations"</f>
        <v>20 hp VFD Equations</v>
      </c>
      <c r="C30" s="180" t="s">
        <v>180</v>
      </c>
      <c r="D30" s="181"/>
      <c r="E30" s="181"/>
      <c r="F30" s="181"/>
      <c r="G30" s="181"/>
      <c r="H30" s="181"/>
      <c r="I30" s="181"/>
      <c r="J30" s="181"/>
      <c r="K30" s="181"/>
      <c r="L30" s="181"/>
      <c r="M30" s="181"/>
      <c r="N30" s="181"/>
      <c r="O30" s="204"/>
      <c r="P30" s="205"/>
      <c r="Q30" s="181"/>
      <c r="R30" s="181"/>
      <c r="S30" s="181"/>
    </row>
    <row r="31" spans="1:24" x14ac:dyDescent="0.5">
      <c r="A31" s="13"/>
      <c r="B31" s="182" t="s">
        <v>165</v>
      </c>
      <c r="C31" s="183" t="s">
        <v>181</v>
      </c>
      <c r="D31" s="184"/>
      <c r="E31" s="184"/>
      <c r="F31" s="184"/>
      <c r="G31" s="184"/>
      <c r="H31" s="184"/>
      <c r="I31" s="184"/>
      <c r="J31" s="184"/>
      <c r="K31" s="184"/>
      <c r="L31" s="184"/>
      <c r="M31" s="184"/>
      <c r="N31" s="184"/>
      <c r="O31" s="206"/>
      <c r="P31" s="183"/>
      <c r="Q31" s="184"/>
      <c r="R31" s="184"/>
      <c r="S31" s="184"/>
    </row>
    <row r="32" spans="1:24" x14ac:dyDescent="0.5">
      <c r="B32" s="185" t="str">
        <f>TEXT(F28,"##")&amp;" hp VFD Equations"</f>
        <v>25 hp VFD Equations</v>
      </c>
      <c r="C32" s="186" t="s">
        <v>182</v>
      </c>
      <c r="D32" s="187"/>
      <c r="E32" s="187"/>
      <c r="F32" s="187"/>
      <c r="G32" s="187"/>
      <c r="H32" s="187"/>
      <c r="I32" s="187"/>
      <c r="J32" s="187"/>
      <c r="K32" s="187"/>
      <c r="L32" s="187"/>
      <c r="M32" s="187"/>
      <c r="N32" s="187"/>
      <c r="O32" s="207"/>
      <c r="P32" s="187"/>
      <c r="Q32" s="187"/>
      <c r="R32" s="187"/>
      <c r="S32" s="187"/>
    </row>
    <row r="33" spans="1:19" x14ac:dyDescent="0.5">
      <c r="B33" s="188" t="s">
        <v>165</v>
      </c>
      <c r="C33" s="189" t="s">
        <v>183</v>
      </c>
      <c r="D33" s="190"/>
      <c r="E33" s="190"/>
      <c r="F33" s="190"/>
      <c r="G33" s="190"/>
      <c r="H33" s="190"/>
      <c r="I33" s="190"/>
      <c r="J33" s="190"/>
      <c r="K33" s="190"/>
      <c r="L33" s="190"/>
      <c r="M33" s="190"/>
      <c r="N33" s="190"/>
      <c r="O33" s="208"/>
      <c r="P33" s="190"/>
      <c r="Q33" s="190"/>
      <c r="R33" s="190"/>
      <c r="S33" s="190"/>
    </row>
    <row r="34" spans="1:19" x14ac:dyDescent="0.5">
      <c r="A34" s="13"/>
      <c r="B34" s="191" t="str">
        <f>TEXT(I28,"##")&amp;" hp VFD Equations"</f>
        <v>30 hp VFD Equations</v>
      </c>
      <c r="C34" s="192" t="s">
        <v>184</v>
      </c>
      <c r="D34" s="193"/>
      <c r="E34" s="193"/>
      <c r="F34" s="193"/>
      <c r="G34" s="193"/>
      <c r="H34" s="193"/>
      <c r="I34" s="193"/>
      <c r="J34" s="193"/>
      <c r="K34" s="193"/>
      <c r="L34" s="193"/>
      <c r="M34" s="193"/>
      <c r="N34" s="193"/>
      <c r="O34" s="209"/>
      <c r="P34" s="192"/>
      <c r="Q34" s="193"/>
      <c r="R34" s="193"/>
      <c r="S34" s="193"/>
    </row>
    <row r="35" spans="1:19" x14ac:dyDescent="0.5">
      <c r="A35" s="13"/>
      <c r="B35" s="194" t="s">
        <v>165</v>
      </c>
      <c r="C35" s="195" t="s">
        <v>185</v>
      </c>
      <c r="D35" s="196"/>
      <c r="E35" s="196"/>
      <c r="F35" s="196"/>
      <c r="G35" s="196"/>
      <c r="H35" s="196"/>
      <c r="I35" s="196"/>
      <c r="J35" s="196"/>
      <c r="K35" s="196"/>
      <c r="L35" s="196"/>
      <c r="M35" s="196"/>
      <c r="N35" s="196"/>
      <c r="O35" s="210"/>
      <c r="P35" s="195"/>
      <c r="Q35" s="196"/>
      <c r="R35" s="196"/>
      <c r="S35" s="196"/>
    </row>
    <row r="36" spans="1:19" x14ac:dyDescent="0.5">
      <c r="A36" s="13"/>
      <c r="B36" s="185" t="str">
        <f>TEXT(L28,"##")&amp;" hp VFD Equations"</f>
        <v>40 hp VFD Equations</v>
      </c>
      <c r="C36" s="186" t="s">
        <v>186</v>
      </c>
      <c r="D36" s="187"/>
      <c r="E36" s="187"/>
      <c r="F36" s="187"/>
      <c r="G36" s="187"/>
      <c r="H36" s="187"/>
      <c r="I36" s="187"/>
      <c r="J36" s="187"/>
      <c r="K36" s="187"/>
      <c r="L36" s="187"/>
      <c r="M36" s="187"/>
      <c r="N36" s="187"/>
      <c r="O36" s="207"/>
      <c r="P36" s="187"/>
      <c r="Q36" s="187"/>
      <c r="R36" s="187"/>
      <c r="S36" s="187"/>
    </row>
    <row r="37" spans="1:19" x14ac:dyDescent="0.5">
      <c r="A37" s="13"/>
      <c r="B37" s="188" t="s">
        <v>165</v>
      </c>
      <c r="C37" s="189" t="s">
        <v>187</v>
      </c>
      <c r="D37" s="190"/>
      <c r="E37" s="190"/>
      <c r="F37" s="190"/>
      <c r="G37" s="190"/>
      <c r="H37" s="190"/>
      <c r="I37" s="190"/>
      <c r="J37" s="190"/>
      <c r="K37" s="190"/>
      <c r="L37" s="190"/>
      <c r="M37" s="190"/>
      <c r="N37" s="190"/>
      <c r="O37" s="208"/>
      <c r="P37" s="190"/>
      <c r="Q37" s="190"/>
      <c r="R37" s="190"/>
      <c r="S37" s="190"/>
    </row>
    <row r="38" spans="1:19" x14ac:dyDescent="0.5">
      <c r="B38" s="191" t="str">
        <f>TEXT(O28,"##")&amp;" hp VFD Equations"</f>
        <v>75 hp VFD Equations</v>
      </c>
      <c r="C38" s="192" t="s">
        <v>188</v>
      </c>
      <c r="D38" s="193"/>
      <c r="E38" s="193"/>
      <c r="F38" s="193"/>
      <c r="G38" s="193"/>
      <c r="H38" s="193"/>
      <c r="I38" s="193"/>
      <c r="J38" s="193"/>
      <c r="K38" s="193"/>
      <c r="L38" s="193"/>
      <c r="M38" s="193"/>
      <c r="N38" s="193"/>
      <c r="O38" s="209"/>
      <c r="P38" s="192"/>
      <c r="Q38" s="193"/>
      <c r="R38" s="193"/>
      <c r="S38" s="193"/>
    </row>
    <row r="39" spans="1:19" x14ac:dyDescent="0.5">
      <c r="B39" s="194" t="s">
        <v>165</v>
      </c>
      <c r="C39" s="195" t="s">
        <v>189</v>
      </c>
      <c r="D39" s="196"/>
      <c r="E39" s="196"/>
      <c r="F39" s="196"/>
      <c r="G39" s="196"/>
      <c r="H39" s="196"/>
      <c r="I39" s="196"/>
      <c r="J39" s="196"/>
      <c r="K39" s="196"/>
      <c r="L39" s="196"/>
      <c r="M39" s="196"/>
      <c r="N39" s="196"/>
      <c r="O39" s="210"/>
      <c r="P39" s="195"/>
      <c r="Q39" s="196"/>
      <c r="R39" s="196"/>
      <c r="S39" s="196"/>
    </row>
    <row r="40" spans="1:19" x14ac:dyDescent="0.5">
      <c r="A40" s="13"/>
      <c r="B40" s="185" t="str">
        <f>TEXT(R28,"##")&amp;" hp VFD Equations"</f>
        <v>100 hp VFD Equations</v>
      </c>
      <c r="C40" s="186" t="s">
        <v>190</v>
      </c>
      <c r="D40" s="187"/>
      <c r="E40" s="187"/>
      <c r="F40" s="187"/>
      <c r="G40" s="187"/>
      <c r="H40" s="187"/>
      <c r="I40" s="187"/>
      <c r="J40" s="187"/>
      <c r="K40" s="187"/>
      <c r="L40" s="187"/>
      <c r="M40" s="187"/>
      <c r="N40" s="187"/>
      <c r="O40" s="207"/>
      <c r="P40" s="187"/>
      <c r="Q40" s="187"/>
      <c r="R40" s="187"/>
      <c r="S40" s="187"/>
    </row>
    <row r="41" spans="1:19" x14ac:dyDescent="0.5">
      <c r="A41" s="13"/>
      <c r="B41" s="188" t="s">
        <v>165</v>
      </c>
      <c r="C41" s="189" t="s">
        <v>191</v>
      </c>
      <c r="D41" s="190"/>
      <c r="E41" s="190"/>
      <c r="F41" s="190"/>
      <c r="G41" s="190"/>
      <c r="H41" s="190"/>
      <c r="I41" s="190"/>
      <c r="J41" s="190"/>
      <c r="K41" s="190"/>
      <c r="L41" s="190"/>
      <c r="M41" s="190"/>
      <c r="N41" s="190"/>
      <c r="O41" s="208"/>
      <c r="P41" s="190"/>
      <c r="Q41" s="190"/>
      <c r="R41" s="190"/>
      <c r="S41" s="190"/>
    </row>
    <row r="42" spans="1:19" x14ac:dyDescent="0.5">
      <c r="A42" s="13"/>
      <c r="B42" s="14"/>
    </row>
    <row r="43" spans="1:19" x14ac:dyDescent="0.5">
      <c r="A43" s="13"/>
      <c r="B43" s="14"/>
      <c r="C43" s="12"/>
    </row>
    <row r="44" spans="1:19" x14ac:dyDescent="0.5">
      <c r="A44" s="13"/>
      <c r="B44" s="14"/>
      <c r="C44" s="12"/>
    </row>
    <row r="45" spans="1:19" x14ac:dyDescent="0.5">
      <c r="A45" s="211"/>
      <c r="B45" s="212" t="s">
        <v>192</v>
      </c>
      <c r="C45" s="213" t="s">
        <v>193</v>
      </c>
      <c r="D45" s="214"/>
      <c r="E45" s="214"/>
      <c r="F45" s="214"/>
      <c r="G45" s="214"/>
      <c r="H45" s="214"/>
      <c r="I45" s="214"/>
      <c r="J45" s="214"/>
      <c r="K45" s="214"/>
      <c r="L45" s="214"/>
      <c r="M45" s="214"/>
      <c r="N45" s="214"/>
    </row>
    <row r="46" spans="1:19" x14ac:dyDescent="0.5">
      <c r="A46" s="211" t="s">
        <v>194</v>
      </c>
      <c r="B46" s="215">
        <v>1.6E-2</v>
      </c>
      <c r="C46" s="215">
        <v>0.125</v>
      </c>
      <c r="D46" s="215">
        <v>0.25</v>
      </c>
      <c r="E46" s="215">
        <v>0.42</v>
      </c>
      <c r="F46" s="215">
        <v>0.5</v>
      </c>
      <c r="G46" s="215">
        <v>0.75</v>
      </c>
      <c r="H46" s="215"/>
      <c r="I46" s="215"/>
      <c r="J46" s="215"/>
      <c r="K46" s="215">
        <v>1</v>
      </c>
    </row>
    <row r="47" spans="1:19" x14ac:dyDescent="0.5">
      <c r="A47" s="211" t="s">
        <v>195</v>
      </c>
      <c r="B47" s="216">
        <f t="shared" ref="B47:G47" si="15">$A$48*B46</f>
        <v>0.32</v>
      </c>
      <c r="C47" s="216">
        <f t="shared" si="15"/>
        <v>2.5</v>
      </c>
      <c r="D47" s="216">
        <f t="shared" si="15"/>
        <v>5</v>
      </c>
      <c r="E47" s="216">
        <f t="shared" si="15"/>
        <v>8.4</v>
      </c>
      <c r="F47" s="216">
        <f t="shared" si="15"/>
        <v>10</v>
      </c>
      <c r="G47" s="216">
        <f t="shared" si="15"/>
        <v>15</v>
      </c>
      <c r="H47" s="216"/>
      <c r="I47" s="216"/>
      <c r="J47" s="216"/>
      <c r="K47" s="216">
        <f>$A$48*K46</f>
        <v>20</v>
      </c>
    </row>
    <row r="48" spans="1:19" x14ac:dyDescent="0.5">
      <c r="A48" s="211">
        <v>20</v>
      </c>
      <c r="B48" s="215">
        <v>0.47</v>
      </c>
      <c r="C48" s="215">
        <v>0.86</v>
      </c>
      <c r="D48" s="215">
        <v>0.93</v>
      </c>
      <c r="E48" s="215">
        <v>0.94</v>
      </c>
      <c r="F48" s="215">
        <v>0.95</v>
      </c>
      <c r="G48" s="215">
        <v>0.96</v>
      </c>
      <c r="H48" s="215"/>
      <c r="I48" s="215"/>
      <c r="J48" s="215"/>
      <c r="K48" s="215">
        <v>0.97</v>
      </c>
    </row>
    <row r="49" spans="1:3" x14ac:dyDescent="0.5">
      <c r="A49" s="13"/>
      <c r="B49" s="14"/>
      <c r="C49" s="12"/>
    </row>
  </sheetData>
  <mergeCells count="1">
    <mergeCell ref="B10:S10"/>
  </mergeCells>
  <hyperlinks>
    <hyperlink ref="D20" location="'VFD Data &gt;= 20 hp'!B31" display="Link to Equation"/>
    <hyperlink ref="P20" location="'VFD Data &gt;= 20 hp'!B39" display="Link to Equation"/>
    <hyperlink ref="B31" location="'VFD Data &gt;= 20 hp'!B19" display="Back to Top"/>
    <hyperlink ref="B39" location="'VFD Data &gt;= 20 hp'!B19" display="Back to Top"/>
    <hyperlink ref="M20" location="'VFD Data &gt;= 20 hp'!B37" display="Link to Equation"/>
    <hyperlink ref="B37" location="'VFD Data &gt;= 20 hp'!B19" display="Back to Top"/>
    <hyperlink ref="S20" location="'VFD Data &gt;= 20 hp'!B41" display="Link to Equation"/>
    <hyperlink ref="B41" location="'VFD Data &gt;= 20 hp'!B19" display="Back to Top"/>
    <hyperlink ref="C45" r:id="rId1"/>
    <hyperlink ref="G20" location="'VFD Data &gt;= 20 hp'!B33" display="Link to Equation"/>
    <hyperlink ref="B33" location="'VFD Data &gt;= 20 hp'!B19" display="Back to Top"/>
    <hyperlink ref="B35" location="'VFD Data &gt;= 20 hp'!B19" display="Back to Top"/>
    <hyperlink ref="J20" location="'VFD Data &gt;= 20 hp'!B35" display="Link to Equation"/>
  </hyperlinks>
  <pageMargins left="0.75" right="0.75" top="1" bottom="1" header="0.5" footer="0.5"/>
  <pageSetup scale="61" orientation="landscape" r:id="rId2"/>
  <headerFooter alignWithMargins="0">
    <oddFooter>&amp;LPage &amp;P of &amp;N of Sheet &amp;A of File &amp;F
Printed on &amp;D at &amp;T
DAS</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6:P65"/>
  <sheetViews>
    <sheetView topLeftCell="A6" workbookViewId="0">
      <selection activeCell="G27" sqref="G27"/>
    </sheetView>
  </sheetViews>
  <sheetFormatPr defaultColWidth="9.1171875" defaultRowHeight="16.7" x14ac:dyDescent="0.7"/>
  <cols>
    <col min="1" max="16384" width="9.1171875" style="7"/>
  </cols>
  <sheetData>
    <row r="6" spans="1:16" x14ac:dyDescent="0.7">
      <c r="A6" s="238" t="s">
        <v>12</v>
      </c>
      <c r="B6" s="238"/>
      <c r="C6" s="238" t="s">
        <v>13</v>
      </c>
      <c r="D6" s="238"/>
      <c r="E6" s="238" t="s">
        <v>14</v>
      </c>
      <c r="F6" s="238"/>
      <c r="G6" s="238" t="s">
        <v>15</v>
      </c>
      <c r="H6" s="238"/>
      <c r="I6" s="238" t="s">
        <v>16</v>
      </c>
      <c r="J6" s="238"/>
      <c r="K6" s="238" t="s">
        <v>17</v>
      </c>
      <c r="L6" s="238"/>
      <c r="M6" s="238" t="s">
        <v>18</v>
      </c>
      <c r="N6" s="238"/>
      <c r="O6" s="238" t="s">
        <v>19</v>
      </c>
      <c r="P6" s="238"/>
    </row>
    <row r="7" spans="1:16" x14ac:dyDescent="0.7">
      <c r="A7" s="238" t="s">
        <v>20</v>
      </c>
      <c r="B7" s="238"/>
      <c r="C7" s="238" t="s">
        <v>21</v>
      </c>
      <c r="D7" s="238"/>
      <c r="E7" s="238" t="s">
        <v>22</v>
      </c>
      <c r="F7" s="238"/>
      <c r="G7" s="238" t="s">
        <v>23</v>
      </c>
      <c r="H7" s="238"/>
      <c r="I7" s="238" t="s">
        <v>24</v>
      </c>
      <c r="J7" s="238"/>
      <c r="K7" s="238" t="s">
        <v>25</v>
      </c>
      <c r="L7" s="238"/>
      <c r="M7" s="238" t="s">
        <v>26</v>
      </c>
      <c r="N7" s="238"/>
      <c r="O7" s="238" t="s">
        <v>27</v>
      </c>
      <c r="P7" s="238"/>
    </row>
    <row r="8" spans="1:16" x14ac:dyDescent="0.7">
      <c r="A8" s="7" t="s">
        <v>28</v>
      </c>
      <c r="B8" s="7" t="s">
        <v>29</v>
      </c>
      <c r="C8" s="7" t="s">
        <v>28</v>
      </c>
      <c r="D8" s="7" t="s">
        <v>29</v>
      </c>
      <c r="E8" s="7" t="s">
        <v>28</v>
      </c>
      <c r="F8" s="7" t="s">
        <v>29</v>
      </c>
      <c r="G8" s="7" t="s">
        <v>28</v>
      </c>
      <c r="H8" s="7" t="s">
        <v>29</v>
      </c>
      <c r="I8" s="7" t="s">
        <v>28</v>
      </c>
      <c r="J8" s="7" t="s">
        <v>29</v>
      </c>
      <c r="K8" s="7" t="s">
        <v>28</v>
      </c>
      <c r="L8" s="7" t="s">
        <v>29</v>
      </c>
      <c r="M8" s="7" t="s">
        <v>28</v>
      </c>
      <c r="N8" s="7" t="s">
        <v>29</v>
      </c>
      <c r="O8" s="7" t="s">
        <v>28</v>
      </c>
      <c r="P8" s="7" t="s">
        <v>29</v>
      </c>
    </row>
    <row r="9" spans="1:16" x14ac:dyDescent="0.7">
      <c r="A9" s="7">
        <v>0</v>
      </c>
      <c r="B9" s="7">
        <v>41.228099999999998</v>
      </c>
      <c r="C9" s="7">
        <v>0</v>
      </c>
      <c r="D9" s="7">
        <v>46.588700000000003</v>
      </c>
      <c r="E9" s="7">
        <v>0</v>
      </c>
      <c r="F9" s="7">
        <v>51.754399999999997</v>
      </c>
      <c r="G9" s="7">
        <v>0</v>
      </c>
      <c r="H9" s="7">
        <v>57.504899999999999</v>
      </c>
      <c r="I9" s="7">
        <v>0</v>
      </c>
      <c r="J9" s="7">
        <v>63.937600000000003</v>
      </c>
      <c r="K9" s="7">
        <v>0</v>
      </c>
      <c r="L9" s="7">
        <v>70.078000000000003</v>
      </c>
      <c r="M9" s="7">
        <v>0</v>
      </c>
      <c r="N9" s="7">
        <v>76.803100000000001</v>
      </c>
      <c r="O9" s="7">
        <v>0</v>
      </c>
      <c r="P9" s="7">
        <v>83.528300000000002</v>
      </c>
    </row>
    <row r="10" spans="1:16" x14ac:dyDescent="0.7">
      <c r="A10" s="7">
        <v>102.422</v>
      </c>
      <c r="B10" s="7">
        <v>41.325499999999998</v>
      </c>
      <c r="C10" s="7">
        <v>102.422</v>
      </c>
      <c r="D10" s="7">
        <v>46.588700000000003</v>
      </c>
      <c r="E10" s="7">
        <v>101.038</v>
      </c>
      <c r="F10" s="7">
        <v>51.754399999999997</v>
      </c>
      <c r="G10" s="7">
        <v>99.653999999999996</v>
      </c>
      <c r="H10" s="7">
        <v>57.504899999999999</v>
      </c>
      <c r="I10" s="7">
        <v>101.038</v>
      </c>
      <c r="J10" s="7">
        <v>63.840200000000003</v>
      </c>
      <c r="K10" s="7">
        <v>102.422</v>
      </c>
      <c r="L10" s="78">
        <v>70.099999999999994</v>
      </c>
      <c r="M10" s="7">
        <v>101.038</v>
      </c>
      <c r="N10" s="7">
        <v>76.705699999999993</v>
      </c>
      <c r="O10" s="7">
        <v>101.038</v>
      </c>
      <c r="P10" s="7">
        <v>83.625699999999995</v>
      </c>
    </row>
    <row r="11" spans="1:16" x14ac:dyDescent="0.7">
      <c r="A11" s="7">
        <v>202.07599999999999</v>
      </c>
      <c r="B11" s="7">
        <v>41.423000000000002</v>
      </c>
      <c r="C11" s="7">
        <v>200.69200000000001</v>
      </c>
      <c r="D11" s="7">
        <v>46.491199999999999</v>
      </c>
      <c r="E11" s="7">
        <v>202.07599999999999</v>
      </c>
      <c r="F11" s="7">
        <v>51.462000000000003</v>
      </c>
      <c r="G11" s="7">
        <v>200.69200000000001</v>
      </c>
      <c r="H11" s="7">
        <v>57.407400000000003</v>
      </c>
      <c r="I11" s="7">
        <v>202.07599999999999</v>
      </c>
      <c r="J11" s="7">
        <v>63.645200000000003</v>
      </c>
      <c r="K11" s="7">
        <v>202.07599999999999</v>
      </c>
      <c r="L11" s="7">
        <v>69.980500000000006</v>
      </c>
      <c r="M11" s="7">
        <v>203.46</v>
      </c>
      <c r="N11" s="7">
        <v>76.608199999999997</v>
      </c>
      <c r="O11" s="7">
        <v>202.07599999999999</v>
      </c>
      <c r="P11" s="7">
        <v>83.528300000000002</v>
      </c>
    </row>
    <row r="12" spans="1:16" x14ac:dyDescent="0.7">
      <c r="A12" s="7">
        <v>300.346</v>
      </c>
      <c r="B12" s="7">
        <v>41.228099999999998</v>
      </c>
      <c r="C12" s="7">
        <v>301.73</v>
      </c>
      <c r="D12" s="7">
        <v>46.198799999999999</v>
      </c>
      <c r="E12" s="7">
        <v>303.11399999999998</v>
      </c>
      <c r="F12" s="7">
        <v>51.169600000000003</v>
      </c>
      <c r="G12" s="7">
        <v>300.346</v>
      </c>
      <c r="H12" s="7">
        <v>57.212499999999999</v>
      </c>
      <c r="I12" s="7">
        <v>303.11399999999998</v>
      </c>
      <c r="J12" s="7">
        <v>63.547800000000002</v>
      </c>
      <c r="K12" s="7">
        <v>301.73</v>
      </c>
      <c r="L12" s="7">
        <v>69.785600000000002</v>
      </c>
      <c r="M12" s="7">
        <v>301.73</v>
      </c>
      <c r="N12" s="7">
        <v>76.5107</v>
      </c>
      <c r="O12" s="7">
        <v>301.73</v>
      </c>
      <c r="P12" s="7">
        <v>83.430800000000005</v>
      </c>
    </row>
    <row r="13" spans="1:16" x14ac:dyDescent="0.7">
      <c r="A13" s="7">
        <v>402.76799999999997</v>
      </c>
      <c r="B13" s="8">
        <v>40.85</v>
      </c>
      <c r="C13" s="7">
        <v>402.76799999999997</v>
      </c>
      <c r="D13" s="7">
        <v>45.711500000000001</v>
      </c>
      <c r="E13" s="7">
        <v>402.76799999999997</v>
      </c>
      <c r="F13" s="7">
        <v>50.779699999999998</v>
      </c>
      <c r="G13" s="7">
        <v>397.23200000000003</v>
      </c>
      <c r="H13" s="7">
        <v>56.920099999999998</v>
      </c>
      <c r="I13" s="7">
        <v>400</v>
      </c>
      <c r="J13" s="7">
        <v>63.255400000000002</v>
      </c>
      <c r="K13" s="7">
        <v>400</v>
      </c>
      <c r="L13" s="7">
        <v>69.493200000000002</v>
      </c>
      <c r="M13" s="7">
        <v>402.76799999999997</v>
      </c>
      <c r="N13" s="7">
        <v>76.413300000000007</v>
      </c>
      <c r="O13" s="7">
        <v>401.38400000000001</v>
      </c>
      <c r="P13" s="7">
        <v>83.235900000000001</v>
      </c>
    </row>
    <row r="14" spans="1:16" x14ac:dyDescent="0.7">
      <c r="A14" s="7">
        <v>502.42200000000003</v>
      </c>
      <c r="B14" s="8">
        <v>40.4</v>
      </c>
      <c r="C14" s="7">
        <v>517.64700000000005</v>
      </c>
      <c r="D14" s="78">
        <v>45.2</v>
      </c>
      <c r="E14" s="7">
        <v>517.64700000000005</v>
      </c>
      <c r="F14" s="7">
        <v>50.389899999999997</v>
      </c>
      <c r="G14" s="7">
        <v>501.03800000000001</v>
      </c>
      <c r="H14" s="7">
        <v>56.432699999999997</v>
      </c>
      <c r="I14" s="7">
        <v>502.42200000000003</v>
      </c>
      <c r="J14" s="7">
        <v>62.865499999999997</v>
      </c>
      <c r="K14" s="7">
        <v>501.03800000000001</v>
      </c>
      <c r="L14" s="78">
        <v>69.099999999999994</v>
      </c>
      <c r="M14" s="7">
        <v>501.03800000000001</v>
      </c>
      <c r="N14" s="7">
        <v>76.023399999999995</v>
      </c>
      <c r="O14" s="7">
        <v>502.42200000000003</v>
      </c>
      <c r="P14" s="7">
        <v>82.846000000000004</v>
      </c>
    </row>
    <row r="15" spans="1:16" x14ac:dyDescent="0.7">
      <c r="A15" s="7">
        <v>600.69200000000001</v>
      </c>
      <c r="B15" s="8">
        <v>39.5</v>
      </c>
      <c r="C15" s="7">
        <v>610.38099999999997</v>
      </c>
      <c r="D15" s="78">
        <v>44.5</v>
      </c>
      <c r="E15" s="7">
        <v>613.149</v>
      </c>
      <c r="F15" s="7">
        <v>49.902500000000003</v>
      </c>
      <c r="G15" s="7">
        <v>600.69200000000001</v>
      </c>
      <c r="H15" s="7">
        <v>56.042900000000003</v>
      </c>
      <c r="I15" s="7">
        <v>602.07600000000002</v>
      </c>
      <c r="J15" s="7">
        <v>62.3782</v>
      </c>
      <c r="K15" s="7">
        <v>599.30799999999999</v>
      </c>
      <c r="L15" s="78">
        <v>68.599999999999994</v>
      </c>
      <c r="M15" s="9">
        <v>602.07600000000002</v>
      </c>
      <c r="N15" s="78">
        <v>75.5</v>
      </c>
      <c r="O15" s="7">
        <v>602.07600000000002</v>
      </c>
      <c r="P15" s="7">
        <v>82.456100000000006</v>
      </c>
    </row>
    <row r="16" spans="1:16" x14ac:dyDescent="0.7">
      <c r="A16" s="7">
        <v>701.73</v>
      </c>
      <c r="B16" s="7">
        <v>38.596499999999999</v>
      </c>
      <c r="C16" s="7">
        <v>703.11400000000003</v>
      </c>
      <c r="D16" s="7">
        <v>43.7622</v>
      </c>
      <c r="E16" s="7">
        <v>705.88199999999995</v>
      </c>
      <c r="F16" s="7">
        <v>49.317700000000002</v>
      </c>
      <c r="G16" s="7">
        <v>701.73</v>
      </c>
      <c r="H16" s="7">
        <v>55.555599999999998</v>
      </c>
      <c r="I16" s="7">
        <v>700.346</v>
      </c>
      <c r="J16" s="7">
        <v>61.890799999999999</v>
      </c>
      <c r="K16" s="7">
        <v>698.96199999999999</v>
      </c>
      <c r="L16" s="7">
        <v>68.128699999999995</v>
      </c>
      <c r="M16" s="7">
        <v>701.73</v>
      </c>
      <c r="N16" s="7">
        <v>74.951300000000003</v>
      </c>
      <c r="O16" s="7">
        <v>703.11400000000003</v>
      </c>
      <c r="P16" s="7">
        <v>82.066299999999998</v>
      </c>
    </row>
    <row r="17" spans="1:16" x14ac:dyDescent="0.7">
      <c r="A17" s="7">
        <v>801.38400000000001</v>
      </c>
      <c r="B17" s="7">
        <v>37.036999999999999</v>
      </c>
      <c r="C17" s="7">
        <v>802.76800000000003</v>
      </c>
      <c r="D17" s="7">
        <v>42.495100000000001</v>
      </c>
      <c r="E17" s="7">
        <v>798.61599999999999</v>
      </c>
      <c r="F17" s="7">
        <v>48.537999999999997</v>
      </c>
      <c r="G17" s="7">
        <v>800</v>
      </c>
      <c r="H17" s="7">
        <v>54.678400000000003</v>
      </c>
      <c r="I17" s="7">
        <v>777.85500000000002</v>
      </c>
      <c r="J17" s="78">
        <v>61.2</v>
      </c>
      <c r="K17" s="7">
        <v>798.61599999999999</v>
      </c>
      <c r="L17" s="7">
        <v>67.543899999999994</v>
      </c>
      <c r="M17" s="7">
        <v>798.61599999999999</v>
      </c>
      <c r="N17" s="7">
        <v>74.269000000000005</v>
      </c>
      <c r="O17" s="7">
        <v>801.38400000000001</v>
      </c>
      <c r="P17" s="7">
        <v>81.676400000000001</v>
      </c>
    </row>
    <row r="18" spans="1:16" x14ac:dyDescent="0.7">
      <c r="A18" s="7">
        <v>899.654</v>
      </c>
      <c r="B18" s="7">
        <v>34.990299999999998</v>
      </c>
      <c r="C18" s="7">
        <v>898.27</v>
      </c>
      <c r="D18" s="7">
        <v>40.838200000000001</v>
      </c>
      <c r="E18" s="7">
        <v>901.03800000000001</v>
      </c>
      <c r="F18" s="7">
        <v>47.271000000000001</v>
      </c>
      <c r="G18" s="7">
        <v>898.27</v>
      </c>
      <c r="H18" s="7">
        <v>53.703699999999998</v>
      </c>
      <c r="I18" s="7">
        <v>822.14499999999998</v>
      </c>
      <c r="J18" s="78">
        <v>60.9</v>
      </c>
      <c r="K18" s="7">
        <v>901.03800000000001</v>
      </c>
      <c r="L18" s="7">
        <v>66.666700000000006</v>
      </c>
      <c r="M18" s="7">
        <v>901.03800000000001</v>
      </c>
      <c r="N18" s="7">
        <v>73.4893</v>
      </c>
      <c r="O18" s="7">
        <v>903.80600000000004</v>
      </c>
      <c r="P18" s="7">
        <v>80.994100000000003</v>
      </c>
    </row>
    <row r="19" spans="1:16" x14ac:dyDescent="0.7">
      <c r="A19" s="7">
        <v>1002.08</v>
      </c>
      <c r="B19" s="7">
        <v>31.773900000000001</v>
      </c>
      <c r="C19" s="7">
        <v>1002.08</v>
      </c>
      <c r="D19" s="7">
        <v>38.401600000000002</v>
      </c>
      <c r="E19" s="7">
        <v>997.92399999999998</v>
      </c>
      <c r="F19" s="7">
        <v>45.224200000000003</v>
      </c>
      <c r="G19" s="7">
        <v>1000.69</v>
      </c>
      <c r="H19" s="7">
        <v>51.5595</v>
      </c>
      <c r="I19" s="7">
        <v>865.05200000000002</v>
      </c>
      <c r="J19" s="7">
        <v>60.428800000000003</v>
      </c>
      <c r="K19" s="7">
        <v>1003.46</v>
      </c>
      <c r="L19" s="7">
        <v>65.107200000000006</v>
      </c>
      <c r="M19" s="7">
        <v>999.30799999999999</v>
      </c>
      <c r="N19" s="7">
        <v>72.222200000000001</v>
      </c>
      <c r="O19" s="7">
        <v>999.30799999999999</v>
      </c>
      <c r="P19" s="7">
        <v>80.019499999999994</v>
      </c>
    </row>
    <row r="20" spans="1:16" x14ac:dyDescent="0.7">
      <c r="A20" s="7">
        <v>1100.3499999999999</v>
      </c>
      <c r="B20" s="7">
        <v>27.9727</v>
      </c>
      <c r="C20" s="7">
        <v>1100.3499999999999</v>
      </c>
      <c r="D20" s="7">
        <v>35.087699999999998</v>
      </c>
      <c r="E20" s="7">
        <v>1100.3499999999999</v>
      </c>
      <c r="F20" s="7">
        <v>42.2027</v>
      </c>
      <c r="G20" s="7">
        <v>1100.3499999999999</v>
      </c>
      <c r="H20" s="7">
        <v>48.927900000000001</v>
      </c>
      <c r="I20" s="7">
        <v>913.495</v>
      </c>
      <c r="J20" s="7">
        <v>59.746600000000001</v>
      </c>
      <c r="K20" s="7">
        <v>1098.96</v>
      </c>
      <c r="L20" s="7">
        <v>63.255400000000002</v>
      </c>
      <c r="M20" s="9">
        <v>1098.96</v>
      </c>
      <c r="N20" s="78">
        <v>70.900000000000006</v>
      </c>
      <c r="O20" s="7">
        <v>1101.73</v>
      </c>
      <c r="P20" s="7">
        <v>78.3626</v>
      </c>
    </row>
    <row r="21" spans="1:16" x14ac:dyDescent="0.7">
      <c r="A21" s="7">
        <v>1202.77</v>
      </c>
      <c r="B21" s="7">
        <v>23.3918</v>
      </c>
      <c r="C21" s="7">
        <v>1202.77</v>
      </c>
      <c r="D21" s="7">
        <v>30.994199999999999</v>
      </c>
      <c r="E21" s="7">
        <v>1200</v>
      </c>
      <c r="F21" s="7">
        <v>38.304099999999998</v>
      </c>
      <c r="G21" s="7">
        <v>1200</v>
      </c>
      <c r="H21" s="7">
        <v>45.4191</v>
      </c>
      <c r="I21" s="7">
        <v>956.40099999999995</v>
      </c>
      <c r="J21" s="7">
        <v>59.064300000000003</v>
      </c>
      <c r="K21" s="7">
        <v>1201.3800000000001</v>
      </c>
      <c r="L21" s="7">
        <v>60.526299999999999</v>
      </c>
      <c r="M21" s="7">
        <v>1201.3800000000001</v>
      </c>
      <c r="N21" s="7">
        <v>69.005899999999997</v>
      </c>
      <c r="O21" s="7">
        <v>1201.3800000000001</v>
      </c>
      <c r="P21" s="7">
        <v>76.413300000000007</v>
      </c>
    </row>
    <row r="22" spans="1:16" x14ac:dyDescent="0.7">
      <c r="A22" s="7">
        <v>1259.52</v>
      </c>
      <c r="B22" s="7">
        <v>20.2729</v>
      </c>
      <c r="C22" s="7">
        <v>1281.6600000000001</v>
      </c>
      <c r="D22" s="7">
        <v>27.095500000000001</v>
      </c>
      <c r="E22" s="7">
        <v>1301.04</v>
      </c>
      <c r="F22" s="7">
        <v>33.820700000000002</v>
      </c>
      <c r="G22" s="7">
        <v>1299.6500000000001</v>
      </c>
      <c r="H22" s="7">
        <v>41.520499999999998</v>
      </c>
      <c r="I22" s="7">
        <v>997.92399999999998</v>
      </c>
      <c r="J22" s="7">
        <v>58.284599999999998</v>
      </c>
      <c r="K22" s="7">
        <v>1255.3599999999999</v>
      </c>
      <c r="L22" s="7">
        <v>58.966900000000003</v>
      </c>
      <c r="M22" s="7">
        <v>1301.04</v>
      </c>
      <c r="N22" s="7">
        <v>66.764099999999999</v>
      </c>
      <c r="O22" s="7">
        <v>1302.42</v>
      </c>
      <c r="P22" s="7">
        <v>74.074100000000001</v>
      </c>
    </row>
    <row r="23" spans="1:16" x14ac:dyDescent="0.7">
      <c r="C23" s="7">
        <v>1364.71</v>
      </c>
      <c r="D23" s="7">
        <v>22.222200000000001</v>
      </c>
      <c r="E23" s="7">
        <v>1402.08</v>
      </c>
      <c r="F23" s="7">
        <v>28.849900000000002</v>
      </c>
      <c r="G23" s="7">
        <v>1367.47</v>
      </c>
      <c r="H23" s="7">
        <v>38.109200000000001</v>
      </c>
      <c r="I23" s="7">
        <v>1062.98</v>
      </c>
      <c r="J23" s="7">
        <v>57.017499999999998</v>
      </c>
      <c r="K23" s="7">
        <v>1299.6500000000001</v>
      </c>
      <c r="L23" s="7">
        <v>57.6023</v>
      </c>
      <c r="M23" s="7">
        <v>1356.4</v>
      </c>
      <c r="N23" s="7">
        <v>64.814800000000005</v>
      </c>
      <c r="O23" s="7">
        <v>1402.08</v>
      </c>
      <c r="P23" s="7">
        <v>71.540000000000006</v>
      </c>
    </row>
    <row r="24" spans="1:16" x14ac:dyDescent="0.7">
      <c r="E24" s="7">
        <v>1478.2</v>
      </c>
      <c r="F24" s="7">
        <v>24.366499999999998</v>
      </c>
      <c r="G24" s="7">
        <v>1431.14</v>
      </c>
      <c r="H24" s="7">
        <v>34.6004</v>
      </c>
      <c r="I24" s="7">
        <v>1147.4000000000001</v>
      </c>
      <c r="J24" s="7">
        <v>54.8733</v>
      </c>
      <c r="K24" s="7">
        <v>1345.33</v>
      </c>
      <c r="L24" s="7">
        <v>56.1404</v>
      </c>
      <c r="M24" s="7">
        <v>1407.61</v>
      </c>
      <c r="N24" s="7">
        <v>62.963000000000001</v>
      </c>
      <c r="O24" s="7">
        <v>1501.73</v>
      </c>
      <c r="P24" s="7">
        <v>68.518500000000003</v>
      </c>
    </row>
    <row r="25" spans="1:16" x14ac:dyDescent="0.7">
      <c r="G25" s="7">
        <v>1500.35</v>
      </c>
      <c r="H25" s="7">
        <v>30.117000000000001</v>
      </c>
      <c r="I25" s="7">
        <v>1224.9100000000001</v>
      </c>
      <c r="J25" s="7">
        <v>52.534100000000002</v>
      </c>
      <c r="K25" s="7">
        <v>1397.92</v>
      </c>
      <c r="L25" s="7">
        <v>54.093600000000002</v>
      </c>
      <c r="M25" s="7">
        <v>1460.21</v>
      </c>
      <c r="N25" s="7">
        <v>60.8187</v>
      </c>
      <c r="O25" s="7">
        <v>1600</v>
      </c>
      <c r="P25" s="7">
        <v>64.619900000000001</v>
      </c>
    </row>
    <row r="26" spans="1:16" x14ac:dyDescent="0.7">
      <c r="G26" s="7">
        <v>1555.71</v>
      </c>
      <c r="H26" s="7">
        <v>26.023399999999999</v>
      </c>
      <c r="I26" s="7">
        <v>1292.73</v>
      </c>
      <c r="J26" s="7">
        <v>50.097499999999997</v>
      </c>
      <c r="K26" s="7">
        <v>1457.44</v>
      </c>
      <c r="L26" s="7">
        <v>51.6569</v>
      </c>
      <c r="M26" s="7">
        <v>1518.34</v>
      </c>
      <c r="N26" s="7">
        <v>58.479500000000002</v>
      </c>
      <c r="O26" s="7">
        <v>1647.06</v>
      </c>
      <c r="P26" s="7">
        <v>62.4756</v>
      </c>
    </row>
    <row r="27" spans="1:16" x14ac:dyDescent="0.7">
      <c r="I27" s="7">
        <v>1349.48</v>
      </c>
      <c r="J27" s="7">
        <v>47.660800000000002</v>
      </c>
      <c r="K27" s="7">
        <v>1512.8</v>
      </c>
      <c r="L27" s="7">
        <v>49.025300000000001</v>
      </c>
      <c r="M27" s="7">
        <v>1577.85</v>
      </c>
      <c r="N27" s="7">
        <v>55.750500000000002</v>
      </c>
      <c r="O27" s="7">
        <v>1699.65</v>
      </c>
      <c r="P27" s="7">
        <v>60.039000000000001</v>
      </c>
    </row>
    <row r="28" spans="1:16" x14ac:dyDescent="0.7">
      <c r="A28" s="7">
        <v>402.76799999999997</v>
      </c>
      <c r="B28" s="7">
        <v>40.740699999999997</v>
      </c>
      <c r="I28" s="7">
        <v>1422.84</v>
      </c>
      <c r="J28" s="7">
        <v>44.249499999999998</v>
      </c>
      <c r="K28" s="7">
        <v>1555.71</v>
      </c>
      <c r="L28" s="7">
        <v>46.7836</v>
      </c>
      <c r="M28" s="7">
        <v>1627.68</v>
      </c>
      <c r="N28" s="7">
        <v>53.2164</v>
      </c>
      <c r="O28" s="7">
        <v>1791</v>
      </c>
      <c r="P28" s="7">
        <v>55.165700000000001</v>
      </c>
    </row>
    <row r="29" spans="1:16" x14ac:dyDescent="0.7">
      <c r="A29" s="7">
        <v>502.42200000000003</v>
      </c>
      <c r="B29" s="7">
        <v>40.058500000000002</v>
      </c>
      <c r="I29" s="7">
        <v>1490.66</v>
      </c>
      <c r="J29" s="7">
        <v>40.740699999999997</v>
      </c>
      <c r="K29" s="7">
        <v>1600</v>
      </c>
      <c r="L29" s="7">
        <v>44.249499999999998</v>
      </c>
      <c r="M29" s="7">
        <v>1681.66</v>
      </c>
      <c r="N29" s="7">
        <v>50.292400000000001</v>
      </c>
      <c r="O29" s="7">
        <v>1847.75</v>
      </c>
      <c r="P29" s="7">
        <v>51.3645</v>
      </c>
    </row>
    <row r="30" spans="1:16" x14ac:dyDescent="0.7">
      <c r="A30" s="7">
        <v>600.69200000000001</v>
      </c>
      <c r="B30" s="9">
        <v>39.083799999999997</v>
      </c>
      <c r="I30" s="7">
        <v>1564.01</v>
      </c>
      <c r="J30" s="7">
        <v>36.354799999999997</v>
      </c>
      <c r="K30" s="7">
        <v>1642.91</v>
      </c>
      <c r="L30" s="7">
        <v>41.715400000000002</v>
      </c>
      <c r="M30" s="7">
        <v>1731.49</v>
      </c>
      <c r="N30" s="7">
        <v>47.368400000000001</v>
      </c>
      <c r="O30" s="7">
        <v>1903.11</v>
      </c>
      <c r="P30" s="7">
        <v>47.368400000000001</v>
      </c>
    </row>
    <row r="31" spans="1:16" x14ac:dyDescent="0.7">
      <c r="I31" s="7">
        <v>1676.12</v>
      </c>
      <c r="J31" s="7">
        <v>29.337199999999999</v>
      </c>
      <c r="K31" s="7">
        <v>1685.81</v>
      </c>
      <c r="L31" s="7">
        <v>39.083799999999997</v>
      </c>
      <c r="M31" s="7">
        <v>1781.31</v>
      </c>
      <c r="N31" s="7">
        <v>44.152000000000001</v>
      </c>
      <c r="O31" s="7">
        <v>1948.79</v>
      </c>
      <c r="P31" s="7">
        <v>43.8596</v>
      </c>
    </row>
    <row r="32" spans="1:16" x14ac:dyDescent="0.7">
      <c r="K32" s="7">
        <v>1731.49</v>
      </c>
      <c r="L32" s="7">
        <v>36.257300000000001</v>
      </c>
      <c r="M32" s="7">
        <v>1826.99</v>
      </c>
      <c r="N32" s="7">
        <v>41.033099999999997</v>
      </c>
      <c r="O32" s="7">
        <v>2013.84</v>
      </c>
      <c r="P32" s="7">
        <v>38.401600000000002</v>
      </c>
    </row>
    <row r="33" spans="3:14" x14ac:dyDescent="0.7">
      <c r="C33" s="7">
        <v>0</v>
      </c>
      <c r="D33" s="7">
        <v>46.588700000000003</v>
      </c>
      <c r="K33" s="7">
        <v>1788.24</v>
      </c>
      <c r="L33" s="7">
        <v>31.968800000000002</v>
      </c>
      <c r="M33" s="7">
        <v>1904.5</v>
      </c>
      <c r="N33" s="7">
        <v>35.380099999999999</v>
      </c>
    </row>
    <row r="34" spans="3:14" x14ac:dyDescent="0.7">
      <c r="C34" s="7">
        <v>102.422</v>
      </c>
      <c r="D34" s="7">
        <v>46.588700000000003</v>
      </c>
    </row>
    <row r="35" spans="3:14" x14ac:dyDescent="0.7">
      <c r="C35" s="7">
        <v>200.69200000000001</v>
      </c>
      <c r="D35" s="7">
        <v>46.491199999999999</v>
      </c>
    </row>
    <row r="36" spans="3:14" x14ac:dyDescent="0.7">
      <c r="C36" s="7">
        <v>301.73</v>
      </c>
      <c r="D36" s="7">
        <v>46.198799999999999</v>
      </c>
      <c r="M36" s="9">
        <v>602.07600000000002</v>
      </c>
      <c r="N36" s="9">
        <v>75.341099999999997</v>
      </c>
    </row>
    <row r="37" spans="3:14" x14ac:dyDescent="0.7">
      <c r="C37" s="7">
        <v>402.76799999999997</v>
      </c>
      <c r="D37" s="7">
        <v>45.711500000000001</v>
      </c>
      <c r="M37" s="9">
        <v>701.73</v>
      </c>
      <c r="N37" s="9">
        <v>74.951300000000003</v>
      </c>
    </row>
    <row r="38" spans="3:14" x14ac:dyDescent="0.7">
      <c r="C38" s="7">
        <v>517.64700000000005</v>
      </c>
      <c r="D38" s="7">
        <v>44.931800000000003</v>
      </c>
      <c r="M38" s="9">
        <v>798.61599999999999</v>
      </c>
      <c r="N38" s="9">
        <v>74.269000000000005</v>
      </c>
    </row>
    <row r="39" spans="3:14" x14ac:dyDescent="0.7">
      <c r="C39" s="7">
        <v>610.38099999999997</v>
      </c>
      <c r="D39" s="7">
        <v>44.347000000000001</v>
      </c>
      <c r="M39" s="9">
        <v>901.03800000000001</v>
      </c>
      <c r="N39" s="9">
        <v>73.4893</v>
      </c>
    </row>
    <row r="40" spans="3:14" x14ac:dyDescent="0.7">
      <c r="C40" s="7">
        <v>703.11400000000003</v>
      </c>
      <c r="D40" s="7">
        <v>43.7622</v>
      </c>
      <c r="M40" s="9">
        <v>999.30799999999999</v>
      </c>
      <c r="N40" s="9">
        <v>72.222200000000001</v>
      </c>
    </row>
    <row r="41" spans="3:14" x14ac:dyDescent="0.7">
      <c r="C41" s="7">
        <v>802.76800000000003</v>
      </c>
      <c r="D41" s="7">
        <v>42.495100000000001</v>
      </c>
      <c r="M41" s="9">
        <v>1098.96</v>
      </c>
      <c r="N41" s="9">
        <v>70.468000000000004</v>
      </c>
    </row>
    <row r="43" spans="3:14" x14ac:dyDescent="0.7">
      <c r="K43" s="7">
        <v>0</v>
      </c>
      <c r="L43" s="7">
        <v>70.078000000000003</v>
      </c>
    </row>
    <row r="44" spans="3:14" x14ac:dyDescent="0.7">
      <c r="K44" s="7">
        <v>102.422</v>
      </c>
      <c r="L44" s="7">
        <v>70.175399999999996</v>
      </c>
    </row>
    <row r="45" spans="3:14" x14ac:dyDescent="0.7">
      <c r="K45" s="7">
        <v>202.07599999999999</v>
      </c>
      <c r="L45" s="7">
        <v>69.980500000000006</v>
      </c>
    </row>
    <row r="46" spans="3:14" x14ac:dyDescent="0.7">
      <c r="K46" s="7">
        <v>301.73</v>
      </c>
      <c r="L46" s="7">
        <v>69.785600000000002</v>
      </c>
    </row>
    <row r="47" spans="3:14" x14ac:dyDescent="0.7">
      <c r="K47" s="7">
        <v>400</v>
      </c>
      <c r="L47" s="7">
        <v>69.493200000000002</v>
      </c>
    </row>
    <row r="48" spans="3:14" x14ac:dyDescent="0.7">
      <c r="K48" s="7">
        <v>501.03800000000001</v>
      </c>
      <c r="L48" s="7">
        <v>68.9084</v>
      </c>
    </row>
    <row r="49" spans="9:12" x14ac:dyDescent="0.7">
      <c r="K49" s="7">
        <v>599.30799999999999</v>
      </c>
      <c r="L49" s="7">
        <v>68.421099999999996</v>
      </c>
    </row>
    <row r="50" spans="9:12" x14ac:dyDescent="0.7">
      <c r="K50" s="7">
        <v>698.96199999999999</v>
      </c>
      <c r="L50" s="7">
        <v>68.128699999999995</v>
      </c>
    </row>
    <row r="51" spans="9:12" x14ac:dyDescent="0.7">
      <c r="K51" s="7">
        <v>798.61599999999999</v>
      </c>
      <c r="L51" s="7">
        <v>67.543899999999994</v>
      </c>
    </row>
    <row r="52" spans="9:12" x14ac:dyDescent="0.7">
      <c r="K52" s="7">
        <v>901.03800000000001</v>
      </c>
      <c r="L52" s="7">
        <v>66.666700000000006</v>
      </c>
    </row>
    <row r="55" spans="9:12" x14ac:dyDescent="0.7">
      <c r="I55" s="7">
        <v>0</v>
      </c>
      <c r="J55" s="7">
        <v>63.937600000000003</v>
      </c>
    </row>
    <row r="56" spans="9:12" x14ac:dyDescent="0.7">
      <c r="I56" s="7">
        <v>101.038</v>
      </c>
      <c r="J56" s="7">
        <v>63.840200000000003</v>
      </c>
    </row>
    <row r="57" spans="9:12" x14ac:dyDescent="0.7">
      <c r="I57" s="7">
        <v>202.07599999999999</v>
      </c>
      <c r="J57" s="7">
        <v>63.645200000000003</v>
      </c>
    </row>
    <row r="58" spans="9:12" x14ac:dyDescent="0.7">
      <c r="I58" s="7">
        <v>303.11399999999998</v>
      </c>
      <c r="J58" s="7">
        <v>63.547800000000002</v>
      </c>
    </row>
    <row r="59" spans="9:12" x14ac:dyDescent="0.7">
      <c r="I59" s="7">
        <v>400</v>
      </c>
      <c r="J59" s="7">
        <v>63.255400000000002</v>
      </c>
    </row>
    <row r="60" spans="9:12" x14ac:dyDescent="0.7">
      <c r="I60" s="7">
        <v>502.42200000000003</v>
      </c>
      <c r="J60" s="7">
        <v>62.865499999999997</v>
      </c>
    </row>
    <row r="61" spans="9:12" x14ac:dyDescent="0.7">
      <c r="I61" s="7">
        <v>602.07600000000002</v>
      </c>
      <c r="J61" s="7">
        <v>62.3782</v>
      </c>
    </row>
    <row r="62" spans="9:12" x14ac:dyDescent="0.7">
      <c r="I62" s="7">
        <v>700.346</v>
      </c>
      <c r="J62" s="7">
        <v>61.890799999999999</v>
      </c>
    </row>
    <row r="63" spans="9:12" x14ac:dyDescent="0.7">
      <c r="I63" s="7">
        <v>777.85500000000002</v>
      </c>
      <c r="J63" s="7">
        <v>61.500999999999998</v>
      </c>
    </row>
    <row r="64" spans="9:12" x14ac:dyDescent="0.7">
      <c r="I64" s="7">
        <v>822.14499999999998</v>
      </c>
      <c r="J64" s="7">
        <v>61.013599999999997</v>
      </c>
    </row>
    <row r="65" spans="9:10" x14ac:dyDescent="0.7">
      <c r="I65" s="7">
        <v>865.05200000000002</v>
      </c>
      <c r="J65" s="7">
        <v>60.428800000000003</v>
      </c>
    </row>
  </sheetData>
  <mergeCells count="16">
    <mergeCell ref="M6:N6"/>
    <mergeCell ref="O6:P6"/>
    <mergeCell ref="A7:B7"/>
    <mergeCell ref="C7:D7"/>
    <mergeCell ref="E7:F7"/>
    <mergeCell ref="G7:H7"/>
    <mergeCell ref="I7:J7"/>
    <mergeCell ref="K7:L7"/>
    <mergeCell ref="M7:N7"/>
    <mergeCell ref="O7:P7"/>
    <mergeCell ref="A6:B6"/>
    <mergeCell ref="C6:D6"/>
    <mergeCell ref="E6:F6"/>
    <mergeCell ref="G6:H6"/>
    <mergeCell ref="I6:J6"/>
    <mergeCell ref="K6:L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6:N34"/>
  <sheetViews>
    <sheetView topLeftCell="A5" workbookViewId="0">
      <selection activeCell="G27" sqref="G27"/>
    </sheetView>
  </sheetViews>
  <sheetFormatPr defaultColWidth="9.1171875" defaultRowHeight="16.7" x14ac:dyDescent="0.7"/>
  <cols>
    <col min="1" max="16384" width="9.1171875" style="7"/>
  </cols>
  <sheetData>
    <row r="6" spans="1:14" x14ac:dyDescent="0.7">
      <c r="A6" s="239">
        <v>0.6</v>
      </c>
      <c r="B6" s="238"/>
      <c r="C6" s="239">
        <v>0.7</v>
      </c>
      <c r="D6" s="238"/>
      <c r="E6" s="239">
        <v>0.75</v>
      </c>
      <c r="F6" s="238"/>
      <c r="G6" s="239">
        <v>0.8</v>
      </c>
      <c r="H6" s="238"/>
      <c r="I6" s="239">
        <v>0.83</v>
      </c>
      <c r="J6" s="238"/>
      <c r="K6" s="239">
        <v>0.86</v>
      </c>
      <c r="L6" s="238"/>
      <c r="M6" s="239">
        <v>0.87</v>
      </c>
      <c r="N6" s="238"/>
    </row>
    <row r="7" spans="1:14" x14ac:dyDescent="0.7">
      <c r="A7" s="238" t="s">
        <v>30</v>
      </c>
      <c r="B7" s="238"/>
      <c r="C7" s="238" t="s">
        <v>31</v>
      </c>
      <c r="D7" s="238"/>
      <c r="E7" s="238" t="s">
        <v>32</v>
      </c>
      <c r="F7" s="238"/>
      <c r="G7" s="238" t="s">
        <v>33</v>
      </c>
      <c r="H7" s="238"/>
      <c r="I7" s="238" t="s">
        <v>34</v>
      </c>
      <c r="J7" s="238"/>
      <c r="K7" s="238" t="s">
        <v>35</v>
      </c>
      <c r="L7" s="238"/>
      <c r="M7" s="238" t="s">
        <v>36</v>
      </c>
      <c r="N7" s="238"/>
    </row>
    <row r="8" spans="1:14" x14ac:dyDescent="0.7">
      <c r="A8" s="7" t="s">
        <v>28</v>
      </c>
      <c r="B8" s="7" t="s">
        <v>29</v>
      </c>
      <c r="C8" s="7" t="s">
        <v>28</v>
      </c>
      <c r="D8" s="7" t="s">
        <v>29</v>
      </c>
      <c r="E8" s="7" t="s">
        <v>28</v>
      </c>
      <c r="F8" s="7" t="s">
        <v>29</v>
      </c>
      <c r="G8" s="7" t="s">
        <v>28</v>
      </c>
      <c r="H8" s="7" t="s">
        <v>29</v>
      </c>
      <c r="I8" s="7" t="s">
        <v>28</v>
      </c>
      <c r="J8" s="7" t="s">
        <v>29</v>
      </c>
      <c r="K8" s="7" t="s">
        <v>28</v>
      </c>
      <c r="L8" s="7" t="s">
        <v>29</v>
      </c>
      <c r="M8" s="7" t="s">
        <v>28</v>
      </c>
      <c r="N8" s="7" t="s">
        <v>29</v>
      </c>
    </row>
    <row r="9" spans="1:14" x14ac:dyDescent="0.7">
      <c r="A9" s="8">
        <v>451.38499999999999</v>
      </c>
      <c r="B9" s="7">
        <v>83.094899999999996</v>
      </c>
      <c r="C9" s="8">
        <v>620.30799999999999</v>
      </c>
      <c r="D9" s="7">
        <v>82.314700000000002</v>
      </c>
      <c r="E9" s="8">
        <v>711.69200000000001</v>
      </c>
      <c r="F9" s="7">
        <v>82.022099999999995</v>
      </c>
      <c r="G9" s="8">
        <v>850.154</v>
      </c>
      <c r="H9" s="7">
        <v>81.436899999999994</v>
      </c>
      <c r="I9" s="7">
        <v>995.53800000000001</v>
      </c>
      <c r="J9" s="7">
        <v>79.974000000000004</v>
      </c>
      <c r="K9" s="7">
        <v>1154.77</v>
      </c>
      <c r="L9" s="7">
        <v>77.438199999999995</v>
      </c>
      <c r="M9" s="7">
        <v>1236.46</v>
      </c>
      <c r="N9" s="7">
        <v>75.975300000000004</v>
      </c>
    </row>
    <row r="10" spans="1:14" x14ac:dyDescent="0.7">
      <c r="A10" s="8">
        <v>438.923</v>
      </c>
      <c r="B10" s="7">
        <v>80.364099999999993</v>
      </c>
      <c r="C10" s="8">
        <v>596.76900000000001</v>
      </c>
      <c r="D10" s="7">
        <v>78.023399999999995</v>
      </c>
      <c r="E10" s="8">
        <v>692.30799999999999</v>
      </c>
      <c r="F10" s="7">
        <v>78.608599999999996</v>
      </c>
      <c r="G10" s="8">
        <v>841.846</v>
      </c>
      <c r="H10" s="7">
        <v>78.608599999999996</v>
      </c>
      <c r="I10" s="7">
        <v>976.154</v>
      </c>
      <c r="J10" s="7">
        <v>76.170299999999997</v>
      </c>
      <c r="K10" s="7">
        <v>1142.31</v>
      </c>
      <c r="L10" s="7">
        <v>73.927199999999999</v>
      </c>
      <c r="M10" s="7">
        <v>1236.46</v>
      </c>
      <c r="N10" s="7">
        <v>74.609899999999996</v>
      </c>
    </row>
    <row r="11" spans="1:14" x14ac:dyDescent="0.7">
      <c r="A11" s="8">
        <v>430.61500000000001</v>
      </c>
      <c r="B11" s="7">
        <v>76.755499999999998</v>
      </c>
      <c r="C11" s="8">
        <v>574.61500000000001</v>
      </c>
      <c r="D11" s="7">
        <v>72.561800000000005</v>
      </c>
      <c r="E11" s="8">
        <v>671.53800000000001</v>
      </c>
      <c r="F11" s="7">
        <v>75</v>
      </c>
      <c r="G11" s="8">
        <v>829.38499999999999</v>
      </c>
      <c r="H11" s="7">
        <v>75.097499999999997</v>
      </c>
      <c r="I11" s="7">
        <v>948.46199999999999</v>
      </c>
      <c r="J11" s="7">
        <v>71.001300000000001</v>
      </c>
      <c r="K11" s="7">
        <v>1129.8499999999999</v>
      </c>
      <c r="L11" s="7">
        <v>69.9285</v>
      </c>
      <c r="M11" s="7">
        <v>1253.08</v>
      </c>
      <c r="N11" s="7">
        <v>73.244500000000002</v>
      </c>
    </row>
    <row r="12" spans="1:14" x14ac:dyDescent="0.7">
      <c r="A12" s="8">
        <v>419.53800000000001</v>
      </c>
      <c r="B12" s="7">
        <v>72.561800000000005</v>
      </c>
      <c r="C12" s="8">
        <v>558</v>
      </c>
      <c r="D12" s="7">
        <v>68.465500000000006</v>
      </c>
      <c r="E12" s="8">
        <v>656.30799999999999</v>
      </c>
      <c r="F12" s="7">
        <v>71.293899999999994</v>
      </c>
      <c r="G12" s="8">
        <v>818.30799999999999</v>
      </c>
      <c r="H12" s="7">
        <v>71.976600000000005</v>
      </c>
      <c r="I12" s="7">
        <v>926.30799999999999</v>
      </c>
      <c r="J12" s="7">
        <v>65.832300000000004</v>
      </c>
      <c r="K12" s="7">
        <v>1121.54</v>
      </c>
      <c r="L12" s="7">
        <v>66.222399999999993</v>
      </c>
      <c r="M12" s="7">
        <v>1275.23</v>
      </c>
      <c r="N12" s="7">
        <v>71.586500000000001</v>
      </c>
    </row>
    <row r="13" spans="1:14" x14ac:dyDescent="0.7">
      <c r="A13" s="8">
        <v>412.61500000000001</v>
      </c>
      <c r="B13" s="7">
        <v>68.465500000000006</v>
      </c>
      <c r="C13" s="8">
        <v>544.154</v>
      </c>
      <c r="D13" s="7">
        <v>63.979199999999999</v>
      </c>
      <c r="E13" s="8">
        <v>639.69200000000001</v>
      </c>
      <c r="F13" s="7">
        <v>65.832300000000004</v>
      </c>
      <c r="G13" s="8">
        <v>808.61500000000001</v>
      </c>
      <c r="H13" s="7">
        <v>68.465500000000006</v>
      </c>
      <c r="I13" s="7">
        <v>911.077</v>
      </c>
      <c r="J13" s="7">
        <v>61.443399999999997</v>
      </c>
      <c r="K13" s="7">
        <v>1110.46</v>
      </c>
      <c r="L13" s="7">
        <v>61.735999999999997</v>
      </c>
      <c r="M13" s="7">
        <v>1297.3800000000001</v>
      </c>
      <c r="N13" s="7">
        <v>70.806200000000004</v>
      </c>
    </row>
    <row r="14" spans="1:14" x14ac:dyDescent="0.7">
      <c r="A14" s="8">
        <v>402.923</v>
      </c>
      <c r="B14" s="7">
        <v>63.296500000000002</v>
      </c>
      <c r="C14" s="8">
        <v>531.69200000000001</v>
      </c>
      <c r="D14" s="7">
        <v>58.712600000000002</v>
      </c>
      <c r="E14" s="8">
        <v>624.46199999999999</v>
      </c>
      <c r="F14" s="7">
        <v>59.492800000000003</v>
      </c>
      <c r="G14" s="8">
        <v>793.38499999999999</v>
      </c>
      <c r="H14" s="7">
        <v>64.856999999999999</v>
      </c>
      <c r="I14" s="7">
        <v>906.923</v>
      </c>
      <c r="J14" s="7">
        <v>56.4694</v>
      </c>
      <c r="K14" s="7">
        <v>1110.46</v>
      </c>
      <c r="L14" s="7">
        <v>58.712600000000002</v>
      </c>
      <c r="M14" s="7">
        <v>1325.08</v>
      </c>
      <c r="N14" s="7">
        <v>70.318600000000004</v>
      </c>
    </row>
    <row r="15" spans="1:14" x14ac:dyDescent="0.7">
      <c r="A15" s="8">
        <v>397.38499999999999</v>
      </c>
      <c r="B15" s="7">
        <v>59.005200000000002</v>
      </c>
      <c r="C15" s="8">
        <v>523.38499999999999</v>
      </c>
      <c r="D15" s="7">
        <v>52.860900000000001</v>
      </c>
      <c r="E15" s="8">
        <v>614.76900000000001</v>
      </c>
      <c r="F15" s="7">
        <v>53.445999999999998</v>
      </c>
      <c r="G15" s="8">
        <v>783.69200000000001</v>
      </c>
      <c r="H15" s="7">
        <v>61.540999999999997</v>
      </c>
      <c r="I15" s="7">
        <v>915.23099999999999</v>
      </c>
      <c r="J15" s="7">
        <v>52.275700000000001</v>
      </c>
      <c r="K15" s="7">
        <v>1121.54</v>
      </c>
      <c r="L15" s="7">
        <v>56.957099999999997</v>
      </c>
      <c r="M15" s="7">
        <v>1361.08</v>
      </c>
      <c r="N15" s="7">
        <v>70.708699999999993</v>
      </c>
    </row>
    <row r="16" spans="1:14" x14ac:dyDescent="0.7">
      <c r="A16" s="8">
        <v>394.61500000000001</v>
      </c>
      <c r="B16" s="7">
        <v>55.396599999999999</v>
      </c>
      <c r="C16" s="8">
        <v>516.46199999999999</v>
      </c>
      <c r="D16" s="7">
        <v>47.594299999999997</v>
      </c>
      <c r="E16" s="8">
        <v>607.846</v>
      </c>
      <c r="F16" s="7">
        <v>47.2042</v>
      </c>
      <c r="G16" s="8">
        <v>776.76900000000001</v>
      </c>
      <c r="H16" s="7">
        <v>57.932400000000001</v>
      </c>
      <c r="I16" s="7">
        <v>931.846</v>
      </c>
      <c r="J16" s="7">
        <v>48.667099999999998</v>
      </c>
      <c r="K16" s="7">
        <v>1135.3800000000001</v>
      </c>
      <c r="L16" s="7">
        <v>55.299100000000003</v>
      </c>
      <c r="M16" s="7">
        <v>1394.31</v>
      </c>
      <c r="N16" s="7">
        <v>71.488900000000001</v>
      </c>
    </row>
    <row r="17" spans="1:12" x14ac:dyDescent="0.7">
      <c r="A17" s="8">
        <v>390.46199999999999</v>
      </c>
      <c r="B17" s="7">
        <v>51.885599999999997</v>
      </c>
      <c r="C17" s="8">
        <v>512.30799999999999</v>
      </c>
      <c r="D17" s="7">
        <v>40.084499999999998</v>
      </c>
      <c r="E17" s="8">
        <v>603.69200000000001</v>
      </c>
      <c r="F17" s="7">
        <v>42.132599999999996</v>
      </c>
      <c r="G17" s="8">
        <v>769.846</v>
      </c>
      <c r="H17" s="7">
        <v>52.958399999999997</v>
      </c>
      <c r="I17" s="7">
        <v>951.23099999999999</v>
      </c>
      <c r="J17" s="7">
        <v>45.936300000000003</v>
      </c>
      <c r="K17" s="7">
        <v>1156.1500000000001</v>
      </c>
      <c r="L17" s="7">
        <v>54.518900000000002</v>
      </c>
    </row>
    <row r="18" spans="1:12" x14ac:dyDescent="0.7">
      <c r="A18" s="8">
        <v>390.46199999999999</v>
      </c>
      <c r="B18" s="7">
        <v>48.179499999999997</v>
      </c>
      <c r="C18" s="7">
        <v>1140.92</v>
      </c>
      <c r="D18" s="7">
        <v>26.332899999999999</v>
      </c>
      <c r="E18" s="8">
        <v>605.077</v>
      </c>
      <c r="F18" s="7">
        <v>39.109200000000001</v>
      </c>
      <c r="G18" s="8">
        <v>765.69200000000001</v>
      </c>
      <c r="H18" s="7">
        <v>48.569600000000001</v>
      </c>
      <c r="I18" s="7">
        <v>984.46199999999999</v>
      </c>
      <c r="J18" s="7">
        <v>43.888199999999998</v>
      </c>
      <c r="K18" s="7">
        <v>1185.23</v>
      </c>
      <c r="L18" s="7">
        <v>54.128700000000002</v>
      </c>
    </row>
    <row r="19" spans="1:12" x14ac:dyDescent="0.7">
      <c r="A19" s="8">
        <v>391.846</v>
      </c>
      <c r="B19" s="7">
        <v>43.400500000000001</v>
      </c>
      <c r="C19" s="7">
        <v>1200.46</v>
      </c>
      <c r="D19" s="7">
        <v>27.308199999999999</v>
      </c>
      <c r="E19" s="7">
        <v>1048.1500000000001</v>
      </c>
      <c r="F19" s="7">
        <v>29.941500000000001</v>
      </c>
      <c r="G19" s="8">
        <v>764.30799999999999</v>
      </c>
      <c r="H19" s="7">
        <v>44.668399999999998</v>
      </c>
      <c r="I19" s="7">
        <v>1027.3800000000001</v>
      </c>
      <c r="J19" s="7">
        <v>42.3277</v>
      </c>
      <c r="K19" s="7">
        <v>1221.23</v>
      </c>
      <c r="L19" s="7">
        <v>54.323799999999999</v>
      </c>
    </row>
    <row r="20" spans="1:12" x14ac:dyDescent="0.7">
      <c r="A20" s="8">
        <v>389.077</v>
      </c>
      <c r="B20" s="7">
        <v>40.864800000000002</v>
      </c>
      <c r="C20" s="7">
        <v>1278</v>
      </c>
      <c r="D20" s="7">
        <v>28.966200000000001</v>
      </c>
      <c r="E20" s="7">
        <v>1085.54</v>
      </c>
      <c r="F20" s="7">
        <v>30.624199999999998</v>
      </c>
      <c r="G20" s="8">
        <v>767.077</v>
      </c>
      <c r="H20" s="7">
        <v>40.084499999999998</v>
      </c>
      <c r="I20" s="7">
        <v>1074.46</v>
      </c>
      <c r="J20" s="7">
        <v>42.132599999999996</v>
      </c>
      <c r="K20" s="7">
        <v>1253.08</v>
      </c>
      <c r="L20" s="7">
        <v>55.103999999999999</v>
      </c>
    </row>
    <row r="21" spans="1:12" x14ac:dyDescent="0.7">
      <c r="A21" s="7">
        <v>1248.92</v>
      </c>
      <c r="B21" s="7">
        <v>20.676200000000001</v>
      </c>
      <c r="C21" s="7">
        <v>1355.54</v>
      </c>
      <c r="D21" s="7">
        <v>31.014299999999999</v>
      </c>
      <c r="E21" s="7">
        <v>1136.77</v>
      </c>
      <c r="F21" s="7">
        <v>31.404399999999999</v>
      </c>
      <c r="G21" s="8">
        <v>774</v>
      </c>
      <c r="H21" s="7">
        <v>37.5488</v>
      </c>
      <c r="I21" s="7">
        <v>1121.54</v>
      </c>
      <c r="J21" s="7">
        <v>43.010399999999997</v>
      </c>
      <c r="K21" s="7">
        <v>1301.54</v>
      </c>
      <c r="L21" s="7">
        <v>56.664499999999997</v>
      </c>
    </row>
    <row r="22" spans="1:12" x14ac:dyDescent="0.7">
      <c r="A22" s="7">
        <v>1302.92</v>
      </c>
      <c r="B22" s="7">
        <v>21.748999999999999</v>
      </c>
      <c r="C22" s="7">
        <v>1449.69</v>
      </c>
      <c r="D22" s="7">
        <v>33.1599</v>
      </c>
      <c r="E22" s="7">
        <v>1188</v>
      </c>
      <c r="F22" s="7">
        <v>32.6723</v>
      </c>
      <c r="G22" s="7">
        <v>931.846</v>
      </c>
      <c r="H22" s="7">
        <v>34.135199999999998</v>
      </c>
      <c r="I22" s="7">
        <v>1175.54</v>
      </c>
      <c r="J22" s="7">
        <v>44.375799999999998</v>
      </c>
      <c r="K22" s="7">
        <v>1345.85</v>
      </c>
      <c r="L22" s="7">
        <v>58.322499999999998</v>
      </c>
    </row>
    <row r="23" spans="1:12" x14ac:dyDescent="0.7">
      <c r="A23" s="7">
        <v>1363.85</v>
      </c>
      <c r="B23" s="7">
        <v>22.626799999999999</v>
      </c>
      <c r="C23" s="7">
        <v>1548</v>
      </c>
      <c r="D23" s="7">
        <v>35.793199999999999</v>
      </c>
      <c r="E23" s="7">
        <v>1246.1500000000001</v>
      </c>
      <c r="F23" s="7">
        <v>33.940199999999997</v>
      </c>
      <c r="G23" s="7">
        <v>995.53800000000001</v>
      </c>
      <c r="H23" s="7">
        <v>35.110500000000002</v>
      </c>
      <c r="I23" s="7">
        <v>1239.23</v>
      </c>
      <c r="J23" s="7">
        <v>46.3264</v>
      </c>
      <c r="K23" s="7">
        <v>1395.69</v>
      </c>
      <c r="L23" s="7">
        <v>60.8583</v>
      </c>
    </row>
    <row r="24" spans="1:12" x14ac:dyDescent="0.7">
      <c r="A24" s="7">
        <v>1458</v>
      </c>
      <c r="B24" s="7">
        <v>24.674900000000001</v>
      </c>
      <c r="C24" s="7">
        <v>1629.69</v>
      </c>
      <c r="D24" s="7">
        <v>38.329000000000001</v>
      </c>
      <c r="E24" s="7">
        <v>1302.92</v>
      </c>
      <c r="F24" s="7">
        <v>35.403100000000002</v>
      </c>
      <c r="G24" s="7">
        <v>1067.54</v>
      </c>
      <c r="H24" s="7">
        <v>36.280900000000003</v>
      </c>
      <c r="I24" s="7">
        <v>1304.31</v>
      </c>
      <c r="J24" s="7">
        <v>48.374499999999998</v>
      </c>
      <c r="K24" s="7">
        <v>1442.77</v>
      </c>
      <c r="L24" s="7">
        <v>63.296500000000002</v>
      </c>
    </row>
    <row r="25" spans="1:12" x14ac:dyDescent="0.7">
      <c r="A25" s="7">
        <v>1542.46</v>
      </c>
      <c r="B25" s="7">
        <v>26.820499999999999</v>
      </c>
      <c r="C25" s="7">
        <v>1725.23</v>
      </c>
      <c r="D25" s="7">
        <v>41.4499</v>
      </c>
      <c r="E25" s="7">
        <v>1350</v>
      </c>
      <c r="F25" s="7">
        <v>36.475900000000003</v>
      </c>
      <c r="G25" s="7">
        <v>1134</v>
      </c>
      <c r="H25" s="7">
        <v>37.646299999999997</v>
      </c>
      <c r="I25" s="7">
        <v>1372.15</v>
      </c>
      <c r="J25" s="7">
        <v>50.715200000000003</v>
      </c>
      <c r="K25" s="7">
        <v>1518.92</v>
      </c>
      <c r="L25" s="7">
        <v>67.782799999999995</v>
      </c>
    </row>
    <row r="26" spans="1:12" x14ac:dyDescent="0.7">
      <c r="A26" s="7">
        <v>1640.77</v>
      </c>
      <c r="B26" s="7">
        <v>29.258800000000001</v>
      </c>
      <c r="C26" s="7">
        <v>1815.23</v>
      </c>
      <c r="D26" s="7">
        <v>44.570900000000002</v>
      </c>
      <c r="E26" s="7">
        <v>1408.15</v>
      </c>
      <c r="F26" s="7">
        <v>38.133899999999997</v>
      </c>
      <c r="G26" s="7">
        <v>1203.23</v>
      </c>
      <c r="H26" s="7">
        <v>39.304299999999998</v>
      </c>
      <c r="I26" s="7">
        <v>1433.08</v>
      </c>
      <c r="J26" s="7">
        <v>52.958399999999997</v>
      </c>
    </row>
    <row r="27" spans="1:12" x14ac:dyDescent="0.7">
      <c r="A27" s="7">
        <v>1733.54</v>
      </c>
      <c r="B27" s="7">
        <v>31.794499999999999</v>
      </c>
      <c r="C27" s="7">
        <v>1899.69</v>
      </c>
      <c r="D27" s="7">
        <v>47.301699999999997</v>
      </c>
      <c r="E27" s="7">
        <v>1452.46</v>
      </c>
      <c r="F27" s="7">
        <v>39.499400000000001</v>
      </c>
      <c r="G27" s="7">
        <v>1261.3800000000001</v>
      </c>
      <c r="H27" s="7">
        <v>40.864800000000002</v>
      </c>
      <c r="I27" s="7">
        <v>1494</v>
      </c>
      <c r="J27" s="7">
        <v>55.591700000000003</v>
      </c>
    </row>
    <row r="28" spans="1:12" x14ac:dyDescent="0.7">
      <c r="A28" s="7">
        <v>1833.23</v>
      </c>
      <c r="B28" s="7">
        <v>34.330300000000001</v>
      </c>
      <c r="E28" s="7">
        <v>1507.85</v>
      </c>
      <c r="F28" s="7">
        <v>41.254899999999999</v>
      </c>
      <c r="G28" s="7">
        <v>1340.31</v>
      </c>
      <c r="H28" s="7">
        <v>43.205500000000001</v>
      </c>
      <c r="I28" s="7">
        <v>1561.85</v>
      </c>
      <c r="J28" s="7">
        <v>58.517600000000002</v>
      </c>
    </row>
    <row r="29" spans="1:12" x14ac:dyDescent="0.7">
      <c r="A29" s="7">
        <v>1914.92</v>
      </c>
      <c r="B29" s="7">
        <v>36.573500000000003</v>
      </c>
      <c r="E29" s="7">
        <v>1556.31</v>
      </c>
      <c r="F29" s="7">
        <v>42.9129</v>
      </c>
      <c r="G29" s="7">
        <v>1401.23</v>
      </c>
      <c r="H29" s="7">
        <v>45.155999999999999</v>
      </c>
      <c r="I29" s="7">
        <v>1644.92</v>
      </c>
      <c r="J29" s="7">
        <v>62.516300000000001</v>
      </c>
    </row>
    <row r="30" spans="1:12" x14ac:dyDescent="0.7">
      <c r="A30" s="7">
        <v>2003.54</v>
      </c>
      <c r="B30" s="7">
        <v>39.011699999999998</v>
      </c>
      <c r="E30" s="7">
        <v>1621.38</v>
      </c>
      <c r="F30" s="7">
        <v>44.863500000000002</v>
      </c>
      <c r="G30" s="7">
        <v>1460.77</v>
      </c>
      <c r="H30" s="7">
        <v>47.301699999999997</v>
      </c>
    </row>
    <row r="31" spans="1:12" x14ac:dyDescent="0.7">
      <c r="E31" s="7">
        <v>1665.69</v>
      </c>
      <c r="F31" s="7">
        <v>46.3264</v>
      </c>
      <c r="G31" s="7">
        <v>1530</v>
      </c>
      <c r="H31" s="7">
        <v>49.837499999999999</v>
      </c>
    </row>
    <row r="32" spans="1:12" x14ac:dyDescent="0.7">
      <c r="E32" s="7">
        <v>1714.15</v>
      </c>
      <c r="F32" s="7">
        <v>48.179499999999997</v>
      </c>
      <c r="G32" s="7">
        <v>1585.38</v>
      </c>
      <c r="H32" s="7">
        <v>51.885599999999997</v>
      </c>
    </row>
    <row r="33" spans="5:8" x14ac:dyDescent="0.7">
      <c r="E33" s="7">
        <v>1772.31</v>
      </c>
      <c r="F33" s="7">
        <v>50.422600000000003</v>
      </c>
      <c r="G33" s="7">
        <v>1654.62</v>
      </c>
      <c r="H33" s="7">
        <v>54.616399999999999</v>
      </c>
    </row>
    <row r="34" spans="5:8" x14ac:dyDescent="0.7">
      <c r="E34" s="7">
        <v>1830.46</v>
      </c>
      <c r="F34" s="7">
        <v>52.665799999999997</v>
      </c>
      <c r="G34" s="7">
        <v>1737.69</v>
      </c>
      <c r="H34" s="7">
        <v>58.127400000000002</v>
      </c>
    </row>
  </sheetData>
  <mergeCells count="14">
    <mergeCell ref="M6:N6"/>
    <mergeCell ref="A7:B7"/>
    <mergeCell ref="C7:D7"/>
    <mergeCell ref="E7:F7"/>
    <mergeCell ref="G7:H7"/>
    <mergeCell ref="I7:J7"/>
    <mergeCell ref="K7:L7"/>
    <mergeCell ref="M7:N7"/>
    <mergeCell ref="A6:B6"/>
    <mergeCell ref="C6:D6"/>
    <mergeCell ref="E6:F6"/>
    <mergeCell ref="G6:H6"/>
    <mergeCell ref="I6:J6"/>
    <mergeCell ref="K6:L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6:L33"/>
  <sheetViews>
    <sheetView topLeftCell="A4" workbookViewId="0">
      <selection activeCell="G27" sqref="G27"/>
    </sheetView>
  </sheetViews>
  <sheetFormatPr defaultColWidth="9.1171875" defaultRowHeight="16.7" x14ac:dyDescent="0.7"/>
  <cols>
    <col min="1" max="16384" width="9.1171875" style="7"/>
  </cols>
  <sheetData>
    <row r="6" spans="1:12" x14ac:dyDescent="0.7">
      <c r="A6" s="238" t="s">
        <v>37</v>
      </c>
      <c r="B6" s="238"/>
      <c r="C6" s="238" t="s">
        <v>38</v>
      </c>
      <c r="D6" s="238"/>
      <c r="E6" s="238" t="s">
        <v>39</v>
      </c>
      <c r="F6" s="238"/>
      <c r="G6" s="238" t="s">
        <v>40</v>
      </c>
      <c r="H6" s="238"/>
      <c r="I6" s="238" t="s">
        <v>41</v>
      </c>
      <c r="J6" s="238"/>
      <c r="K6" s="238" t="s">
        <v>42</v>
      </c>
      <c r="L6" s="238"/>
    </row>
    <row r="7" spans="1:12" x14ac:dyDescent="0.7">
      <c r="A7" s="238" t="s">
        <v>43</v>
      </c>
      <c r="B7" s="238"/>
      <c r="C7" s="238" t="s">
        <v>44</v>
      </c>
      <c r="D7" s="238"/>
      <c r="E7" s="238" t="s">
        <v>45</v>
      </c>
      <c r="F7" s="238"/>
      <c r="G7" s="238" t="s">
        <v>46</v>
      </c>
      <c r="H7" s="238"/>
      <c r="I7" s="238" t="s">
        <v>47</v>
      </c>
      <c r="J7" s="238"/>
      <c r="K7" s="238" t="s">
        <v>48</v>
      </c>
      <c r="L7" s="238"/>
    </row>
    <row r="8" spans="1:12" x14ac:dyDescent="0.7">
      <c r="A8" s="7" t="s">
        <v>28</v>
      </c>
      <c r="B8" s="7" t="s">
        <v>29</v>
      </c>
      <c r="C8" s="7" t="s">
        <v>28</v>
      </c>
      <c r="D8" s="7" t="s">
        <v>29</v>
      </c>
      <c r="E8" s="7" t="s">
        <v>28</v>
      </c>
      <c r="F8" s="7" t="s">
        <v>29</v>
      </c>
      <c r="G8" s="7" t="s">
        <v>28</v>
      </c>
      <c r="H8" s="7" t="s">
        <v>29</v>
      </c>
      <c r="I8" s="7" t="s">
        <v>28</v>
      </c>
      <c r="J8" s="7" t="s">
        <v>29</v>
      </c>
      <c r="K8" s="7" t="s">
        <v>28</v>
      </c>
      <c r="L8" s="7" t="s">
        <v>29</v>
      </c>
    </row>
    <row r="9" spans="1:12" x14ac:dyDescent="0.7">
      <c r="A9" s="7">
        <v>398.61599999999999</v>
      </c>
      <c r="B9" s="7">
        <v>58.869399999999999</v>
      </c>
      <c r="C9" s="7">
        <v>441.52199999999999</v>
      </c>
      <c r="D9" s="7">
        <v>79.727099999999993</v>
      </c>
      <c r="E9" s="7">
        <v>728.02800000000002</v>
      </c>
      <c r="F9" s="7">
        <v>82.066299999999998</v>
      </c>
      <c r="G9" s="7">
        <v>1060.21</v>
      </c>
      <c r="H9" s="7">
        <v>79.044799999999995</v>
      </c>
      <c r="I9" s="7">
        <v>1494.81</v>
      </c>
      <c r="J9" s="7">
        <v>68.810900000000004</v>
      </c>
      <c r="K9" s="7">
        <v>2022.15</v>
      </c>
      <c r="L9" s="7">
        <v>57.017499999999998</v>
      </c>
    </row>
    <row r="10" spans="1:12" x14ac:dyDescent="0.7">
      <c r="A10" s="7">
        <v>438.75400000000002</v>
      </c>
      <c r="B10" s="7">
        <v>56.530200000000001</v>
      </c>
      <c r="C10" s="7">
        <v>483.04500000000002</v>
      </c>
      <c r="D10" s="7">
        <v>77.582800000000006</v>
      </c>
      <c r="E10" s="7">
        <v>775.08600000000001</v>
      </c>
      <c r="F10" s="7">
        <v>79.239800000000002</v>
      </c>
      <c r="G10" s="7">
        <v>1082.3499999999999</v>
      </c>
      <c r="H10" s="7">
        <v>77.582800000000006</v>
      </c>
      <c r="I10" s="7">
        <v>1528.03</v>
      </c>
      <c r="J10" s="7">
        <v>66.666700000000006</v>
      </c>
      <c r="K10" s="7">
        <v>2059.52</v>
      </c>
      <c r="L10" s="7">
        <v>53.703699999999998</v>
      </c>
    </row>
    <row r="11" spans="1:12" x14ac:dyDescent="0.7">
      <c r="A11" s="7">
        <v>481.661</v>
      </c>
      <c r="B11" s="7">
        <v>54.5809</v>
      </c>
      <c r="C11" s="7">
        <v>534.25599999999997</v>
      </c>
      <c r="D11" s="7">
        <v>74.463899999999995</v>
      </c>
      <c r="E11" s="7">
        <v>833.21799999999996</v>
      </c>
      <c r="F11" s="7">
        <v>76.120900000000006</v>
      </c>
      <c r="G11" s="7">
        <v>1115.57</v>
      </c>
      <c r="H11" s="7">
        <v>75.730999999999995</v>
      </c>
      <c r="I11" s="7">
        <v>1564.01</v>
      </c>
      <c r="J11" s="7">
        <v>64.522400000000005</v>
      </c>
      <c r="K11" s="7">
        <v>2102.42</v>
      </c>
      <c r="L11" s="7">
        <v>49.902500000000003</v>
      </c>
    </row>
    <row r="12" spans="1:12" x14ac:dyDescent="0.7">
      <c r="A12" s="7">
        <v>524.56700000000001</v>
      </c>
      <c r="B12" s="7">
        <v>52.728999999999999</v>
      </c>
      <c r="C12" s="7">
        <v>575.779</v>
      </c>
      <c r="D12" s="7">
        <v>72.222200000000001</v>
      </c>
      <c r="E12" s="7">
        <v>877.50900000000001</v>
      </c>
      <c r="F12" s="7">
        <v>73.586699999999993</v>
      </c>
      <c r="G12" s="7">
        <v>1152.94</v>
      </c>
      <c r="H12" s="7">
        <v>73.879099999999994</v>
      </c>
      <c r="I12" s="7">
        <v>1598.62</v>
      </c>
      <c r="J12" s="7">
        <v>62.573099999999997</v>
      </c>
      <c r="K12" s="7">
        <v>2130.1</v>
      </c>
      <c r="L12" s="7">
        <v>47.173499999999997</v>
      </c>
    </row>
    <row r="13" spans="1:12" x14ac:dyDescent="0.7">
      <c r="A13" s="7">
        <v>573.01</v>
      </c>
      <c r="B13" s="7">
        <v>50.487299999999998</v>
      </c>
      <c r="C13" s="7">
        <v>615.91700000000003</v>
      </c>
      <c r="D13" s="7">
        <v>70.175399999999996</v>
      </c>
      <c r="E13" s="7">
        <v>920.41499999999996</v>
      </c>
      <c r="F13" s="7">
        <v>71.150099999999995</v>
      </c>
      <c r="G13" s="7">
        <v>1200</v>
      </c>
      <c r="H13" s="7">
        <v>71.344999999999999</v>
      </c>
      <c r="I13" s="7">
        <v>1637.37</v>
      </c>
      <c r="J13" s="7">
        <v>60.331400000000002</v>
      </c>
      <c r="K13" s="7">
        <v>2179.9299999999998</v>
      </c>
      <c r="L13" s="7">
        <v>41.812899999999999</v>
      </c>
    </row>
    <row r="14" spans="1:12" x14ac:dyDescent="0.7">
      <c r="A14" s="7">
        <v>626.99</v>
      </c>
      <c r="B14" s="7">
        <v>48.050699999999999</v>
      </c>
      <c r="C14" s="7">
        <v>656.05499999999995</v>
      </c>
      <c r="D14" s="7">
        <v>67.738799999999998</v>
      </c>
      <c r="E14" s="7">
        <v>981.31500000000005</v>
      </c>
      <c r="F14" s="7">
        <v>68.128699999999995</v>
      </c>
      <c r="G14" s="7">
        <v>1259.52</v>
      </c>
      <c r="H14" s="7">
        <v>68.128699999999995</v>
      </c>
      <c r="I14" s="7">
        <v>1684.43</v>
      </c>
      <c r="J14" s="7">
        <v>56.920099999999998</v>
      </c>
    </row>
    <row r="15" spans="1:12" x14ac:dyDescent="0.7">
      <c r="A15" s="7">
        <v>680.96900000000005</v>
      </c>
      <c r="B15" s="7">
        <v>45.613999999999997</v>
      </c>
      <c r="C15" s="7">
        <v>693.42600000000004</v>
      </c>
      <c r="D15" s="7">
        <v>65.691999999999993</v>
      </c>
      <c r="E15" s="7">
        <v>1031.1400000000001</v>
      </c>
      <c r="F15" s="7">
        <v>65.497100000000003</v>
      </c>
      <c r="G15" s="7">
        <v>1316.26</v>
      </c>
      <c r="H15" s="7">
        <v>65.399600000000007</v>
      </c>
      <c r="I15" s="7">
        <v>1728.72</v>
      </c>
      <c r="J15" s="7">
        <v>53.508800000000001</v>
      </c>
    </row>
    <row r="16" spans="1:12" x14ac:dyDescent="0.7">
      <c r="A16" s="7">
        <v>721.10699999999997</v>
      </c>
      <c r="B16" s="7">
        <v>43.664700000000003</v>
      </c>
      <c r="C16" s="7">
        <v>740.48400000000004</v>
      </c>
      <c r="D16" s="7">
        <v>63.060400000000001</v>
      </c>
      <c r="E16" s="7">
        <v>1083.74</v>
      </c>
      <c r="F16" s="7">
        <v>62.573099999999997</v>
      </c>
      <c r="G16" s="7">
        <v>1371.63</v>
      </c>
      <c r="H16" s="7">
        <v>62.4756</v>
      </c>
      <c r="I16" s="7">
        <v>1771.63</v>
      </c>
      <c r="J16" s="7">
        <v>50.389899999999997</v>
      </c>
    </row>
    <row r="17" spans="1:10" x14ac:dyDescent="0.7">
      <c r="A17" s="7">
        <v>762.63</v>
      </c>
      <c r="B17" s="7">
        <v>41.715400000000002</v>
      </c>
      <c r="C17" s="7">
        <v>786.15899999999999</v>
      </c>
      <c r="D17" s="7">
        <v>60.8187</v>
      </c>
      <c r="E17" s="7">
        <v>1130.8</v>
      </c>
      <c r="F17" s="7">
        <v>60.136499999999998</v>
      </c>
      <c r="G17" s="7">
        <v>1413.15</v>
      </c>
      <c r="H17" s="7">
        <v>59.844099999999997</v>
      </c>
      <c r="I17" s="7">
        <v>1809</v>
      </c>
      <c r="J17" s="7">
        <v>47.758299999999998</v>
      </c>
    </row>
    <row r="18" spans="1:10" x14ac:dyDescent="0.7">
      <c r="A18" s="7">
        <v>804.15200000000004</v>
      </c>
      <c r="B18" s="7">
        <v>39.863500000000002</v>
      </c>
      <c r="C18" s="7">
        <v>837.37</v>
      </c>
      <c r="D18" s="7">
        <v>58.382100000000001</v>
      </c>
      <c r="E18" s="7">
        <v>1180.6199999999999</v>
      </c>
      <c r="F18" s="7">
        <v>57.6023</v>
      </c>
      <c r="G18" s="7">
        <v>1453.29</v>
      </c>
      <c r="H18" s="7">
        <v>57.699800000000003</v>
      </c>
      <c r="I18" s="7">
        <v>1868.51</v>
      </c>
      <c r="J18" s="7">
        <v>43.567300000000003</v>
      </c>
    </row>
    <row r="19" spans="1:10" x14ac:dyDescent="0.7">
      <c r="A19" s="7">
        <v>842.90700000000004</v>
      </c>
      <c r="B19" s="7">
        <v>38.109200000000001</v>
      </c>
      <c r="C19" s="7">
        <v>888.58100000000002</v>
      </c>
      <c r="D19" s="7">
        <v>55.945399999999999</v>
      </c>
      <c r="E19" s="7">
        <v>1235.99</v>
      </c>
      <c r="F19" s="7">
        <v>54.970799999999997</v>
      </c>
      <c r="G19" s="7">
        <v>1501.73</v>
      </c>
      <c r="H19" s="7">
        <v>54.775799999999997</v>
      </c>
      <c r="I19" s="7">
        <v>1908.65</v>
      </c>
      <c r="J19" s="7">
        <v>40.448300000000003</v>
      </c>
    </row>
    <row r="20" spans="1:10" x14ac:dyDescent="0.7">
      <c r="A20" s="7">
        <v>896.88599999999997</v>
      </c>
      <c r="B20" s="7">
        <v>35.380099999999999</v>
      </c>
      <c r="C20" s="7">
        <v>941.17600000000004</v>
      </c>
      <c r="D20" s="7">
        <v>52.923999999999999</v>
      </c>
      <c r="E20" s="7">
        <v>1281.6600000000001</v>
      </c>
      <c r="F20" s="7">
        <v>52.534100000000002</v>
      </c>
      <c r="G20" s="7">
        <v>1540.48</v>
      </c>
      <c r="H20" s="7">
        <v>52.046799999999998</v>
      </c>
      <c r="I20" s="7">
        <v>1969.55</v>
      </c>
      <c r="J20" s="7">
        <v>35.477600000000002</v>
      </c>
    </row>
    <row r="21" spans="1:10" x14ac:dyDescent="0.7">
      <c r="A21" s="7">
        <v>930.10400000000004</v>
      </c>
      <c r="B21" s="7">
        <v>33.788200000000003</v>
      </c>
      <c r="C21" s="7">
        <v>997.92399999999998</v>
      </c>
      <c r="D21" s="7">
        <v>50.487299999999998</v>
      </c>
      <c r="E21" s="7">
        <v>1327.34</v>
      </c>
      <c r="F21" s="7">
        <v>49.805100000000003</v>
      </c>
      <c r="G21" s="7">
        <v>1591.7</v>
      </c>
      <c r="H21" s="7">
        <v>48.927900000000001</v>
      </c>
    </row>
    <row r="22" spans="1:10" x14ac:dyDescent="0.7">
      <c r="A22" s="7">
        <v>964.245</v>
      </c>
      <c r="B22" s="7">
        <v>32.098799999999997</v>
      </c>
      <c r="C22" s="7">
        <v>1051.9000000000001</v>
      </c>
      <c r="D22" s="7">
        <v>47.953200000000002</v>
      </c>
      <c r="E22" s="7">
        <v>1378.55</v>
      </c>
      <c r="F22" s="7">
        <v>46.881100000000004</v>
      </c>
      <c r="G22" s="7">
        <v>1641.52</v>
      </c>
      <c r="H22" s="7">
        <v>45.613999999999997</v>
      </c>
    </row>
    <row r="23" spans="1:10" x14ac:dyDescent="0.7">
      <c r="A23" s="7">
        <v>999.30799999999999</v>
      </c>
      <c r="B23" s="7">
        <v>30.3444</v>
      </c>
      <c r="C23" s="7">
        <v>1104.5</v>
      </c>
      <c r="D23" s="7">
        <v>45.224200000000003</v>
      </c>
      <c r="E23" s="7">
        <v>1421.45</v>
      </c>
      <c r="F23" s="7">
        <v>44.152000000000001</v>
      </c>
      <c r="G23" s="7">
        <v>1683.04</v>
      </c>
      <c r="H23" s="7">
        <v>42.592599999999997</v>
      </c>
    </row>
    <row r="24" spans="1:10" x14ac:dyDescent="0.7">
      <c r="A24" s="7">
        <v>1038.06</v>
      </c>
      <c r="B24" s="7">
        <v>28.330100000000002</v>
      </c>
      <c r="C24" s="7">
        <v>1151.56</v>
      </c>
      <c r="D24" s="7">
        <v>42.690100000000001</v>
      </c>
      <c r="E24" s="7">
        <v>1467.13</v>
      </c>
      <c r="F24" s="7">
        <v>41.325499999999998</v>
      </c>
      <c r="G24" s="7">
        <v>1739.79</v>
      </c>
      <c r="H24" s="7">
        <v>38.791400000000003</v>
      </c>
    </row>
    <row r="25" spans="1:10" x14ac:dyDescent="0.7">
      <c r="A25" s="7">
        <v>1097.1199999999999</v>
      </c>
      <c r="B25" s="7">
        <v>25.211200000000002</v>
      </c>
      <c r="C25" s="7">
        <v>1200</v>
      </c>
      <c r="D25" s="7">
        <v>40.350900000000003</v>
      </c>
      <c r="E25" s="7">
        <v>1515.57</v>
      </c>
      <c r="F25" s="7">
        <v>38.304099999999998</v>
      </c>
      <c r="G25" s="7">
        <v>1781.31</v>
      </c>
      <c r="H25" s="7">
        <v>35.672499999999999</v>
      </c>
    </row>
    <row r="26" spans="1:10" x14ac:dyDescent="0.7">
      <c r="C26" s="7">
        <v>1252.5999999999999</v>
      </c>
      <c r="D26" s="7">
        <v>37.426900000000003</v>
      </c>
      <c r="E26" s="7">
        <v>1562.63</v>
      </c>
      <c r="F26" s="7">
        <v>35.282600000000002</v>
      </c>
      <c r="G26" s="7">
        <v>1838.06</v>
      </c>
      <c r="H26" s="7">
        <v>31.676400000000001</v>
      </c>
    </row>
    <row r="27" spans="1:10" x14ac:dyDescent="0.7">
      <c r="C27" s="7">
        <v>1292.73</v>
      </c>
      <c r="D27" s="7">
        <v>35.087699999999998</v>
      </c>
      <c r="E27" s="7">
        <v>1602.77</v>
      </c>
      <c r="F27" s="7">
        <v>32.456099999999999</v>
      </c>
    </row>
    <row r="28" spans="1:10" x14ac:dyDescent="0.7">
      <c r="C28" s="7">
        <v>1321.8</v>
      </c>
      <c r="D28" s="7">
        <v>33.235900000000001</v>
      </c>
      <c r="E28" s="7">
        <v>1674.74</v>
      </c>
      <c r="F28" s="7">
        <v>27.387899999999998</v>
      </c>
    </row>
    <row r="29" spans="1:10" x14ac:dyDescent="0.7">
      <c r="C29" s="7">
        <v>1343.94</v>
      </c>
      <c r="D29" s="7">
        <v>31.773900000000001</v>
      </c>
    </row>
    <row r="30" spans="1:10" x14ac:dyDescent="0.7">
      <c r="C30" s="7">
        <v>1371.63</v>
      </c>
      <c r="D30" s="7">
        <v>30.311900000000001</v>
      </c>
    </row>
    <row r="31" spans="1:10" x14ac:dyDescent="0.7">
      <c r="C31" s="7">
        <v>1399.31</v>
      </c>
      <c r="D31" s="7">
        <v>28.46</v>
      </c>
    </row>
    <row r="32" spans="1:10" x14ac:dyDescent="0.7">
      <c r="C32" s="7">
        <v>1438.06</v>
      </c>
      <c r="D32" s="7">
        <v>26.315799999999999</v>
      </c>
    </row>
    <row r="33" spans="3:4" x14ac:dyDescent="0.7">
      <c r="C33" s="7">
        <v>1493.43</v>
      </c>
      <c r="D33" s="7">
        <v>22.904499999999999</v>
      </c>
    </row>
  </sheetData>
  <mergeCells count="12">
    <mergeCell ref="K7:L7"/>
    <mergeCell ref="A6:B6"/>
    <mergeCell ref="C6:D6"/>
    <mergeCell ref="E6:F6"/>
    <mergeCell ref="G6:H6"/>
    <mergeCell ref="I6:J6"/>
    <mergeCell ref="K6:L6"/>
    <mergeCell ref="A7:B7"/>
    <mergeCell ref="C7:D7"/>
    <mergeCell ref="E7:F7"/>
    <mergeCell ref="G7:H7"/>
    <mergeCell ref="I7:J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6"/>
  </sheetPr>
  <dimension ref="A1:N75"/>
  <sheetViews>
    <sheetView defaultGridColor="0" topLeftCell="A7" colorId="22" workbookViewId="0">
      <selection activeCell="F25" sqref="F25:J25"/>
    </sheetView>
  </sheetViews>
  <sheetFormatPr defaultColWidth="15.703125" defaultRowHeight="18.7" x14ac:dyDescent="0.5"/>
  <cols>
    <col min="1" max="1" width="22.41015625" style="10" customWidth="1"/>
    <col min="2" max="2" width="36.703125" style="11" customWidth="1"/>
    <col min="3" max="3" width="16.703125" style="10" customWidth="1"/>
    <col min="4" max="4" width="13.87890625" style="10" customWidth="1"/>
    <col min="5" max="5" width="15.703125" style="10"/>
    <col min="6" max="7" width="16.703125" style="10" customWidth="1"/>
    <col min="8" max="8" width="19.5859375" style="10" customWidth="1"/>
    <col min="9" max="9" width="15.703125" style="10"/>
    <col min="10" max="10" width="16.703125" style="10" customWidth="1"/>
    <col min="11" max="11" width="19.5859375" style="10" customWidth="1"/>
    <col min="12" max="13" width="15.703125" style="10"/>
    <col min="14" max="15" width="21" style="10" customWidth="1"/>
    <col min="16" max="17" width="22.41015625" style="10" customWidth="1"/>
    <col min="18" max="18" width="15.703125" style="10"/>
    <col min="19" max="19" width="16.703125" style="10" customWidth="1"/>
    <col min="20" max="20" width="21" style="10" customWidth="1"/>
    <col min="21" max="16384" width="15.703125" style="10"/>
  </cols>
  <sheetData>
    <row r="1" spans="1:14" s="48" customFormat="1" ht="117" customHeight="1" x14ac:dyDescent="0.5">
      <c r="B1" s="50"/>
      <c r="C1" s="49"/>
    </row>
    <row r="2" spans="1:14" ht="19.5" customHeight="1" x14ac:dyDescent="0.5">
      <c r="A2" s="47" t="s">
        <v>0</v>
      </c>
      <c r="B2" s="46"/>
      <c r="C2" s="43"/>
    </row>
    <row r="3" spans="1:14" ht="19.5" customHeight="1" x14ac:dyDescent="0.5">
      <c r="A3" s="47" t="s">
        <v>1</v>
      </c>
      <c r="B3" s="46"/>
      <c r="C3" s="43"/>
    </row>
    <row r="4" spans="1:14" x14ac:dyDescent="0.5">
      <c r="A4" s="45" t="s">
        <v>2</v>
      </c>
      <c r="B4" s="44"/>
      <c r="C4" s="43"/>
      <c r="D4" s="43"/>
    </row>
    <row r="5" spans="1:14" s="27" customFormat="1" x14ac:dyDescent="0.8">
      <c r="A5" s="41" t="s">
        <v>3</v>
      </c>
      <c r="B5" s="42">
        <v>42831.272505439818</v>
      </c>
      <c r="C5" s="31"/>
      <c r="D5" s="31"/>
      <c r="E5" s="28"/>
      <c r="F5" s="28"/>
      <c r="G5" s="30"/>
      <c r="H5" s="28"/>
      <c r="I5" s="28"/>
      <c r="J5" s="28"/>
      <c r="K5" s="28"/>
      <c r="L5" s="29"/>
      <c r="M5" s="28"/>
      <c r="N5" s="28"/>
    </row>
    <row r="6" spans="1:14" s="27" customFormat="1" x14ac:dyDescent="0.8">
      <c r="A6" s="41" t="s">
        <v>4</v>
      </c>
      <c r="B6" s="32" t="s">
        <v>64</v>
      </c>
      <c r="C6" s="31"/>
      <c r="D6" s="31"/>
      <c r="E6" s="28"/>
      <c r="F6" s="28"/>
      <c r="G6" s="30"/>
      <c r="H6" s="28"/>
      <c r="I6" s="28"/>
      <c r="J6" s="28"/>
      <c r="K6" s="28"/>
      <c r="L6" s="29"/>
      <c r="M6" s="28"/>
      <c r="N6" s="28"/>
    </row>
    <row r="7" spans="1:14" s="27" customFormat="1" x14ac:dyDescent="0.8">
      <c r="A7" s="41" t="s">
        <v>6</v>
      </c>
      <c r="B7" s="32"/>
      <c r="C7" s="31"/>
      <c r="D7" s="31"/>
      <c r="E7" s="28"/>
      <c r="F7" s="28"/>
      <c r="G7" s="30"/>
      <c r="H7" s="28"/>
      <c r="I7" s="28"/>
      <c r="J7" s="28"/>
      <c r="K7" s="28"/>
      <c r="L7" s="29"/>
      <c r="M7" s="28"/>
      <c r="N7" s="28"/>
    </row>
    <row r="8" spans="1:14" s="27" customFormat="1" x14ac:dyDescent="0.8">
      <c r="A8" s="41" t="s">
        <v>8</v>
      </c>
      <c r="B8" s="32" t="s">
        <v>9</v>
      </c>
      <c r="C8" s="31"/>
      <c r="D8" s="31"/>
      <c r="E8" s="28"/>
      <c r="F8" s="28"/>
      <c r="G8" s="28"/>
      <c r="H8" s="28"/>
      <c r="I8" s="28"/>
      <c r="J8" s="28"/>
      <c r="L8" s="29"/>
      <c r="M8" s="28"/>
      <c r="N8" s="28"/>
    </row>
    <row r="9" spans="1:14" s="27" customFormat="1" x14ac:dyDescent="0.5">
      <c r="A9" s="40" t="s">
        <v>10</v>
      </c>
      <c r="B9" s="31"/>
      <c r="C9" s="31"/>
      <c r="D9" s="31"/>
      <c r="E9" s="28"/>
      <c r="F9" s="28"/>
      <c r="G9" s="28"/>
      <c r="H9" s="28"/>
      <c r="I9" s="28"/>
      <c r="J9" s="28"/>
      <c r="L9" s="29"/>
      <c r="M9" s="28"/>
      <c r="N9" s="28"/>
    </row>
    <row r="10" spans="1:14" s="27" customFormat="1" x14ac:dyDescent="0.5">
      <c r="A10" s="33">
        <v>1</v>
      </c>
      <c r="B10" s="37" t="s">
        <v>63</v>
      </c>
      <c r="C10" s="39">
        <v>1300</v>
      </c>
      <c r="D10" s="38" t="s">
        <v>123</v>
      </c>
      <c r="E10" s="28"/>
      <c r="F10" s="28"/>
      <c r="H10" s="28"/>
      <c r="I10" s="28"/>
      <c r="J10" s="28"/>
      <c r="L10" s="29"/>
      <c r="M10" s="28"/>
      <c r="N10" s="28"/>
    </row>
    <row r="11" spans="1:14" s="27" customFormat="1" x14ac:dyDescent="0.5">
      <c r="A11" s="33">
        <f>A10+1</f>
        <v>2</v>
      </c>
      <c r="B11" s="37" t="s">
        <v>62</v>
      </c>
      <c r="C11" s="36">
        <f>30+20+20</f>
        <v>70</v>
      </c>
      <c r="D11" s="32" t="s">
        <v>124</v>
      </c>
      <c r="E11" s="28"/>
      <c r="F11" s="28"/>
      <c r="G11" s="28"/>
      <c r="H11" s="28"/>
      <c r="I11" s="28"/>
      <c r="J11" s="28"/>
      <c r="L11" s="29"/>
      <c r="M11" s="28"/>
      <c r="N11" s="28"/>
    </row>
    <row r="12" spans="1:14" s="27" customFormat="1" x14ac:dyDescent="0.5">
      <c r="A12" s="33">
        <f>A11+1</f>
        <v>3</v>
      </c>
      <c r="B12" s="37" t="s">
        <v>61</v>
      </c>
      <c r="C12" s="36">
        <v>0</v>
      </c>
      <c r="D12" s="32" t="s">
        <v>111</v>
      </c>
      <c r="E12" s="28"/>
      <c r="F12" s="28"/>
      <c r="G12" s="28"/>
      <c r="H12" s="28"/>
      <c r="I12" s="28"/>
      <c r="J12" s="28"/>
      <c r="L12" s="29"/>
      <c r="M12" s="28"/>
      <c r="N12" s="28"/>
    </row>
    <row r="13" spans="1:14" s="27" customFormat="1" x14ac:dyDescent="0.5">
      <c r="A13" s="33">
        <v>4</v>
      </c>
      <c r="B13" s="37" t="s">
        <v>112</v>
      </c>
      <c r="C13" s="83">
        <v>2</v>
      </c>
      <c r="D13" s="32" t="s">
        <v>113</v>
      </c>
      <c r="E13" s="28"/>
      <c r="F13" s="28"/>
      <c r="G13" s="28"/>
      <c r="H13" s="28"/>
      <c r="I13" s="28"/>
      <c r="J13" s="28"/>
      <c r="L13" s="35"/>
      <c r="M13" s="28"/>
      <c r="N13" s="34"/>
    </row>
    <row r="14" spans="1:14" s="27" customFormat="1" x14ac:dyDescent="0.5">
      <c r="A14" s="33">
        <v>5</v>
      </c>
      <c r="B14" s="37" t="s">
        <v>78</v>
      </c>
      <c r="C14" s="95">
        <v>0.86899999999999999</v>
      </c>
      <c r="D14" s="32" t="s">
        <v>97</v>
      </c>
      <c r="E14" s="28"/>
      <c r="F14" s="28"/>
      <c r="G14" s="28"/>
      <c r="H14" s="28"/>
      <c r="I14" s="28"/>
      <c r="J14" s="28"/>
      <c r="L14" s="35"/>
      <c r="M14" s="28"/>
      <c r="N14" s="34"/>
    </row>
    <row r="15" spans="1:14" s="27" customFormat="1" x14ac:dyDescent="0.5">
      <c r="A15" s="33">
        <v>6</v>
      </c>
      <c r="B15" s="37" t="s">
        <v>76</v>
      </c>
      <c r="C15" s="57">
        <f>(C10*C11)/(3960*C14)</f>
        <v>26.443956248329091</v>
      </c>
      <c r="D15" s="32" t="s">
        <v>77</v>
      </c>
      <c r="E15" s="28"/>
      <c r="F15" s="28"/>
      <c r="G15" s="30"/>
      <c r="H15" s="28"/>
      <c r="I15" s="28"/>
      <c r="J15" s="28"/>
      <c r="K15" s="28"/>
      <c r="L15" s="29"/>
      <c r="M15" s="28"/>
      <c r="N15" s="28"/>
    </row>
    <row r="16" spans="1:14" s="27" customFormat="1" x14ac:dyDescent="0.5">
      <c r="A16" s="33">
        <v>7</v>
      </c>
      <c r="B16" s="37" t="s">
        <v>92</v>
      </c>
      <c r="C16" s="92">
        <v>13.5</v>
      </c>
      <c r="D16" s="32" t="s">
        <v>81</v>
      </c>
      <c r="E16" s="28"/>
      <c r="F16" s="28"/>
      <c r="G16" s="30"/>
      <c r="H16" s="28"/>
      <c r="I16" s="28"/>
      <c r="J16" s="28"/>
      <c r="K16" s="28"/>
      <c r="L16" s="29"/>
      <c r="M16" s="28"/>
      <c r="N16" s="28"/>
    </row>
    <row r="17" spans="1:14" s="27" customFormat="1" x14ac:dyDescent="0.5">
      <c r="A17" s="33">
        <v>8</v>
      </c>
      <c r="B17" s="37" t="s">
        <v>132</v>
      </c>
      <c r="C17" s="92">
        <v>13.5</v>
      </c>
      <c r="D17" s="32" t="s">
        <v>133</v>
      </c>
      <c r="E17" s="28"/>
      <c r="F17" s="28"/>
      <c r="G17" s="30"/>
      <c r="H17" s="28"/>
      <c r="I17" s="28"/>
      <c r="J17" s="28"/>
      <c r="K17" s="28"/>
      <c r="L17" s="29"/>
      <c r="M17" s="28"/>
      <c r="N17" s="28"/>
    </row>
    <row r="18" spans="1:14" s="27" customFormat="1" x14ac:dyDescent="0.5">
      <c r="A18" s="33">
        <v>9</v>
      </c>
      <c r="B18" s="37" t="s">
        <v>93</v>
      </c>
      <c r="C18" s="92">
        <v>10</v>
      </c>
      <c r="D18" s="32" t="s">
        <v>81</v>
      </c>
      <c r="E18" s="28"/>
      <c r="F18" s="28"/>
      <c r="G18" s="30"/>
      <c r="H18" s="28"/>
      <c r="I18" s="28"/>
      <c r="J18" s="28"/>
      <c r="K18" s="28"/>
      <c r="L18" s="29"/>
      <c r="M18" s="28"/>
      <c r="N18" s="28"/>
    </row>
    <row r="19" spans="1:14" s="27" customFormat="1" x14ac:dyDescent="0.5">
      <c r="A19" s="33">
        <v>10</v>
      </c>
      <c r="B19" s="37" t="s">
        <v>134</v>
      </c>
      <c r="C19" s="39">
        <v>1150</v>
      </c>
      <c r="D19" s="32" t="s">
        <v>135</v>
      </c>
      <c r="E19" s="28"/>
      <c r="F19" s="28"/>
      <c r="G19" s="30"/>
      <c r="H19" s="28"/>
      <c r="I19" s="28"/>
      <c r="J19" s="28"/>
      <c r="K19" s="28"/>
      <c r="L19" s="29"/>
      <c r="M19" s="28"/>
      <c r="N19" s="28"/>
    </row>
    <row r="20" spans="1:14" s="27" customFormat="1" x14ac:dyDescent="0.5">
      <c r="A20" s="33"/>
      <c r="B20" s="32" t="s">
        <v>114</v>
      </c>
      <c r="C20" s="57"/>
      <c r="D20" s="32"/>
      <c r="E20" s="28"/>
      <c r="F20" s="28"/>
      <c r="G20" s="30"/>
      <c r="H20" s="28"/>
      <c r="I20" s="28"/>
      <c r="J20" s="28"/>
      <c r="K20" s="28"/>
      <c r="L20" s="29"/>
      <c r="M20" s="28"/>
      <c r="N20" s="28"/>
    </row>
    <row r="21" spans="1:14" s="27" customFormat="1" x14ac:dyDescent="0.5">
      <c r="A21" s="33"/>
      <c r="B21" s="32" t="s">
        <v>115</v>
      </c>
      <c r="C21" s="57"/>
      <c r="D21" s="32"/>
      <c r="E21" s="28"/>
      <c r="F21" s="28"/>
      <c r="G21" s="30"/>
      <c r="H21" s="28"/>
      <c r="I21" s="28"/>
      <c r="J21" s="28"/>
      <c r="K21" s="28"/>
      <c r="L21" s="29"/>
      <c r="M21" s="28"/>
      <c r="N21" s="28"/>
    </row>
    <row r="22" spans="1:14" x14ac:dyDescent="0.5">
      <c r="A22" s="26"/>
      <c r="B22" s="25"/>
      <c r="C22" s="20"/>
      <c r="D22" s="20"/>
    </row>
    <row r="23" spans="1:14" ht="19.5" customHeight="1" x14ac:dyDescent="0.5">
      <c r="A23" s="24"/>
      <c r="B23" s="240" t="s">
        <v>60</v>
      </c>
      <c r="C23" s="240"/>
      <c r="D23" s="240"/>
      <c r="E23" s="98"/>
      <c r="F23" s="237" t="s">
        <v>139</v>
      </c>
      <c r="G23" s="237"/>
      <c r="H23" s="237"/>
      <c r="I23" s="237"/>
      <c r="J23" s="237"/>
      <c r="K23" s="98"/>
    </row>
    <row r="24" spans="1:14" ht="19.5" customHeight="1" x14ac:dyDescent="0.5">
      <c r="A24" s="13"/>
      <c r="B24" s="80" t="s">
        <v>59</v>
      </c>
      <c r="C24" s="81" t="s">
        <v>49</v>
      </c>
      <c r="D24" s="82" t="s">
        <v>116</v>
      </c>
      <c r="E24" s="100"/>
      <c r="F24" s="237" t="s">
        <v>140</v>
      </c>
      <c r="G24" s="237"/>
      <c r="H24" s="237"/>
      <c r="I24" s="237"/>
      <c r="J24" s="237"/>
      <c r="K24" s="100"/>
    </row>
    <row r="25" spans="1:14" x14ac:dyDescent="0.5">
      <c r="A25" s="13"/>
      <c r="B25" s="21" t="s">
        <v>58</v>
      </c>
      <c r="C25" s="23">
        <f>1.4*C27</f>
        <v>1819.9999999999998</v>
      </c>
      <c r="D25" s="52">
        <f>$D$42+(($D$27-$D$42)*((C25/$C$27)^$C$13))</f>
        <v>137.19999999999999</v>
      </c>
      <c r="E25" s="101"/>
      <c r="F25" s="237" t="s">
        <v>141</v>
      </c>
      <c r="G25" s="237"/>
      <c r="H25" s="237"/>
      <c r="I25" s="237"/>
      <c r="J25" s="237"/>
      <c r="K25" s="101"/>
    </row>
    <row r="26" spans="1:14" x14ac:dyDescent="0.5">
      <c r="A26" s="13"/>
      <c r="B26" s="22" t="s">
        <v>57</v>
      </c>
      <c r="C26" s="53">
        <f>1.2*C27</f>
        <v>1560</v>
      </c>
      <c r="D26" s="54">
        <f>$D$42+(($D$27-$D$42)*((C26/$C$27)^$C$13))</f>
        <v>100.8</v>
      </c>
      <c r="E26" s="102"/>
      <c r="F26" s="237" t="s">
        <v>142</v>
      </c>
      <c r="G26" s="237"/>
      <c r="H26" s="237"/>
      <c r="I26" s="237"/>
      <c r="J26" s="237"/>
      <c r="K26" s="102"/>
    </row>
    <row r="27" spans="1:14" x14ac:dyDescent="0.5">
      <c r="A27" s="13"/>
      <c r="B27" s="86" t="s">
        <v>56</v>
      </c>
      <c r="C27" s="87">
        <f>$C$10</f>
        <v>1300</v>
      </c>
      <c r="D27" s="88">
        <f>$C$11</f>
        <v>70</v>
      </c>
      <c r="E27" s="103"/>
      <c r="F27" s="237" t="s">
        <v>143</v>
      </c>
      <c r="G27" s="237"/>
      <c r="H27" s="237"/>
      <c r="I27" s="237"/>
      <c r="J27" s="237"/>
      <c r="K27" s="103"/>
    </row>
    <row r="28" spans="1:14" x14ac:dyDescent="0.5">
      <c r="A28" s="13"/>
      <c r="B28" s="22" t="s">
        <v>55</v>
      </c>
      <c r="C28" s="53">
        <f>0.8*C27</f>
        <v>1040</v>
      </c>
      <c r="D28" s="54">
        <f t="shared" ref="D28:D41" si="0">$D$42+(($D$27-$D$42)*((C28/$C$27)^$C$13))</f>
        <v>44.800000000000011</v>
      </c>
      <c r="E28" s="104"/>
      <c r="F28" s="237" t="s">
        <v>144</v>
      </c>
      <c r="G28" s="237"/>
      <c r="H28" s="237"/>
      <c r="I28" s="237"/>
      <c r="J28" s="237"/>
      <c r="K28" s="104"/>
    </row>
    <row r="29" spans="1:14" x14ac:dyDescent="0.5">
      <c r="A29" s="13"/>
      <c r="B29" s="21" t="s">
        <v>54</v>
      </c>
      <c r="C29" s="23">
        <f>0.6*C27</f>
        <v>780</v>
      </c>
      <c r="D29" s="52">
        <f t="shared" si="0"/>
        <v>25.2</v>
      </c>
      <c r="E29" s="105"/>
      <c r="F29" s="237" t="s">
        <v>146</v>
      </c>
      <c r="G29" s="237"/>
      <c r="H29" s="237"/>
      <c r="I29" s="237"/>
      <c r="J29" s="237"/>
      <c r="K29" s="105"/>
    </row>
    <row r="30" spans="1:14" x14ac:dyDescent="0.5">
      <c r="A30" s="13"/>
      <c r="B30" s="22" t="s">
        <v>53</v>
      </c>
      <c r="C30" s="53">
        <f>0.4*C27</f>
        <v>520</v>
      </c>
      <c r="D30" s="54">
        <f t="shared" si="0"/>
        <v>11.200000000000003</v>
      </c>
    </row>
    <row r="31" spans="1:14" x14ac:dyDescent="0.5">
      <c r="A31" s="13"/>
      <c r="B31" s="21" t="s">
        <v>67</v>
      </c>
      <c r="C31" s="23">
        <f>0.3*C27</f>
        <v>390</v>
      </c>
      <c r="D31" s="52">
        <f t="shared" si="0"/>
        <v>6.3</v>
      </c>
    </row>
    <row r="32" spans="1:14" x14ac:dyDescent="0.5">
      <c r="A32" s="13"/>
      <c r="B32" s="22" t="s">
        <v>52</v>
      </c>
      <c r="C32" s="53">
        <f>0.2*C27</f>
        <v>260</v>
      </c>
      <c r="D32" s="54">
        <f t="shared" si="0"/>
        <v>2.8000000000000007</v>
      </c>
    </row>
    <row r="33" spans="1:5" x14ac:dyDescent="0.5">
      <c r="A33" s="13"/>
      <c r="B33" s="21" t="s">
        <v>68</v>
      </c>
      <c r="C33" s="23">
        <f>0.18*C27</f>
        <v>234</v>
      </c>
      <c r="D33" s="52">
        <f t="shared" si="0"/>
        <v>2.2679999999999998</v>
      </c>
    </row>
    <row r="34" spans="1:5" x14ac:dyDescent="0.5">
      <c r="A34" s="13"/>
      <c r="B34" s="22" t="s">
        <v>69</v>
      </c>
      <c r="C34" s="53">
        <f>0.16*C27</f>
        <v>208</v>
      </c>
      <c r="D34" s="54">
        <f t="shared" si="0"/>
        <v>1.792</v>
      </c>
    </row>
    <row r="35" spans="1:5" x14ac:dyDescent="0.5">
      <c r="A35" s="13"/>
      <c r="B35" s="21" t="s">
        <v>70</v>
      </c>
      <c r="C35" s="23">
        <f>0.14*C27</f>
        <v>182.00000000000003</v>
      </c>
      <c r="D35" s="52">
        <f t="shared" si="0"/>
        <v>1.3720000000000001</v>
      </c>
    </row>
    <row r="36" spans="1:5" x14ac:dyDescent="0.5">
      <c r="A36" s="13"/>
      <c r="B36" s="22" t="s">
        <v>71</v>
      </c>
      <c r="C36" s="53">
        <f>0.12*C27</f>
        <v>156</v>
      </c>
      <c r="D36" s="54">
        <f t="shared" si="0"/>
        <v>1.008</v>
      </c>
    </row>
    <row r="37" spans="1:5" x14ac:dyDescent="0.5">
      <c r="A37" s="13"/>
      <c r="B37" s="21" t="s">
        <v>51</v>
      </c>
      <c r="C37" s="23">
        <f>0.1*C27</f>
        <v>130</v>
      </c>
      <c r="D37" s="52">
        <f t="shared" si="0"/>
        <v>0.70000000000000018</v>
      </c>
    </row>
    <row r="38" spans="1:5" x14ac:dyDescent="0.5">
      <c r="A38" s="13"/>
      <c r="B38" s="22" t="s">
        <v>72</v>
      </c>
      <c r="C38" s="53">
        <f>0.08*C27</f>
        <v>104</v>
      </c>
      <c r="D38" s="54">
        <f t="shared" si="0"/>
        <v>0.44800000000000001</v>
      </c>
    </row>
    <row r="39" spans="1:5" x14ac:dyDescent="0.5">
      <c r="A39" s="13"/>
      <c r="B39" s="21" t="s">
        <v>73</v>
      </c>
      <c r="C39" s="23">
        <f>0.06*C27</f>
        <v>78</v>
      </c>
      <c r="D39" s="52">
        <f t="shared" si="0"/>
        <v>0.252</v>
      </c>
    </row>
    <row r="40" spans="1:5" x14ac:dyDescent="0.5">
      <c r="A40" s="13"/>
      <c r="B40" s="22" t="s">
        <v>74</v>
      </c>
      <c r="C40" s="53">
        <f>0.04*C29</f>
        <v>31.2</v>
      </c>
      <c r="D40" s="54">
        <f t="shared" si="0"/>
        <v>4.0320000000000002E-2</v>
      </c>
    </row>
    <row r="41" spans="1:5" x14ac:dyDescent="0.5">
      <c r="A41" s="13"/>
      <c r="B41" s="21" t="s">
        <v>75</v>
      </c>
      <c r="C41" s="23">
        <f>0.02*C29</f>
        <v>15.6</v>
      </c>
      <c r="D41" s="52">
        <f t="shared" si="0"/>
        <v>1.008E-2</v>
      </c>
    </row>
    <row r="42" spans="1:5" x14ac:dyDescent="0.5">
      <c r="A42" s="13"/>
      <c r="B42" s="22" t="s">
        <v>50</v>
      </c>
      <c r="C42" s="53">
        <v>0</v>
      </c>
      <c r="D42" s="56">
        <f>$C$12</f>
        <v>0</v>
      </c>
      <c r="E42" s="20"/>
    </row>
    <row r="43" spans="1:5" x14ac:dyDescent="0.5">
      <c r="B43" s="51"/>
      <c r="C43" s="20"/>
      <c r="D43" s="20"/>
    </row>
    <row r="44" spans="1:5" x14ac:dyDescent="0.5">
      <c r="A44" s="13"/>
      <c r="B44" s="71" t="s">
        <v>90</v>
      </c>
      <c r="C44" s="72"/>
      <c r="D44" s="73"/>
    </row>
    <row r="45" spans="1:5" x14ac:dyDescent="0.5">
      <c r="A45" s="13"/>
      <c r="B45" s="22" t="s">
        <v>65</v>
      </c>
      <c r="C45" s="55">
        <v>2500</v>
      </c>
      <c r="D45" s="54">
        <f>D27</f>
        <v>70</v>
      </c>
      <c r="E45" s="10" t="s">
        <v>117</v>
      </c>
    </row>
    <row r="46" spans="1:5" x14ac:dyDescent="0.5">
      <c r="A46" s="13"/>
      <c r="B46" s="21"/>
      <c r="C46" s="55">
        <v>0</v>
      </c>
      <c r="D46" s="52">
        <f>D45</f>
        <v>70</v>
      </c>
    </row>
    <row r="47" spans="1:5" x14ac:dyDescent="0.5">
      <c r="A47" s="13"/>
      <c r="B47" s="22" t="s">
        <v>66</v>
      </c>
      <c r="C47" s="53">
        <f>C27</f>
        <v>1300</v>
      </c>
      <c r="D47" s="85">
        <v>90</v>
      </c>
      <c r="E47" s="10" t="s">
        <v>118</v>
      </c>
    </row>
    <row r="48" spans="1:5" x14ac:dyDescent="0.5">
      <c r="A48" s="13"/>
      <c r="B48" s="21"/>
      <c r="C48" s="23">
        <f>C47</f>
        <v>1300</v>
      </c>
      <c r="D48" s="85">
        <f>D42</f>
        <v>0</v>
      </c>
    </row>
    <row r="49" spans="1:5" x14ac:dyDescent="0.5">
      <c r="A49" s="13"/>
    </row>
    <row r="50" spans="1:5" x14ac:dyDescent="0.5">
      <c r="A50" s="13"/>
      <c r="B50" s="71" t="s">
        <v>91</v>
      </c>
      <c r="C50" s="72"/>
      <c r="D50" s="73"/>
    </row>
    <row r="51" spans="1:5" x14ac:dyDescent="0.5">
      <c r="A51" s="13"/>
      <c r="B51" s="22" t="s">
        <v>65</v>
      </c>
      <c r="C51" s="74">
        <f>C45</f>
        <v>2500</v>
      </c>
      <c r="D51" s="84">
        <v>73.5</v>
      </c>
      <c r="E51" s="10" t="s">
        <v>128</v>
      </c>
    </row>
    <row r="52" spans="1:5" x14ac:dyDescent="0.5">
      <c r="A52" s="13"/>
      <c r="B52" s="21"/>
      <c r="C52" s="23">
        <v>0</v>
      </c>
      <c r="D52" s="52">
        <f>D51</f>
        <v>73.5</v>
      </c>
    </row>
    <row r="53" spans="1:5" x14ac:dyDescent="0.5">
      <c r="A53" s="13"/>
      <c r="B53" s="22" t="s">
        <v>66</v>
      </c>
      <c r="C53" s="77">
        <v>1330</v>
      </c>
      <c r="D53" s="75">
        <f>D47</f>
        <v>90</v>
      </c>
      <c r="E53" s="10" t="s">
        <v>129</v>
      </c>
    </row>
    <row r="54" spans="1:5" x14ac:dyDescent="0.5">
      <c r="A54" s="13"/>
      <c r="B54" s="21"/>
      <c r="C54" s="23">
        <f>C53</f>
        <v>1330</v>
      </c>
      <c r="D54" s="76">
        <f>D48</f>
        <v>0</v>
      </c>
    </row>
    <row r="55" spans="1:5" x14ac:dyDescent="0.5">
      <c r="A55" s="13"/>
      <c r="B55" s="17"/>
    </row>
    <row r="56" spans="1:5" x14ac:dyDescent="0.5">
      <c r="A56" s="13"/>
      <c r="B56" s="17"/>
    </row>
    <row r="57" spans="1:5" x14ac:dyDescent="0.5">
      <c r="A57" s="13"/>
      <c r="B57" s="17"/>
    </row>
    <row r="58" spans="1:5" x14ac:dyDescent="0.5">
      <c r="A58" s="13"/>
      <c r="B58" s="17"/>
      <c r="C58" s="16"/>
    </row>
    <row r="59" spans="1:5" x14ac:dyDescent="0.5">
      <c r="A59" s="13"/>
      <c r="B59" s="17"/>
      <c r="C59" s="16"/>
    </row>
    <row r="60" spans="1:5" x14ac:dyDescent="0.5">
      <c r="A60" s="13"/>
      <c r="B60" s="17"/>
      <c r="C60" s="16"/>
    </row>
    <row r="61" spans="1:5" x14ac:dyDescent="0.5">
      <c r="A61" s="13"/>
      <c r="B61" s="17"/>
      <c r="C61" s="16"/>
    </row>
    <row r="62" spans="1:5" x14ac:dyDescent="0.5">
      <c r="A62" s="13"/>
      <c r="B62" s="17"/>
      <c r="C62" s="16"/>
    </row>
    <row r="63" spans="1:5" x14ac:dyDescent="0.5">
      <c r="A63" s="13"/>
      <c r="B63" s="17"/>
      <c r="C63" s="16"/>
    </row>
    <row r="64" spans="1:5" x14ac:dyDescent="0.5">
      <c r="A64" s="19"/>
      <c r="B64" s="17"/>
      <c r="C64" s="16"/>
    </row>
    <row r="65" spans="1:3" x14ac:dyDescent="0.5">
      <c r="A65" s="13"/>
      <c r="B65" s="17"/>
      <c r="C65" s="16"/>
    </row>
    <row r="66" spans="1:3" x14ac:dyDescent="0.5">
      <c r="A66" s="18"/>
      <c r="B66" s="17"/>
      <c r="C66" s="16"/>
    </row>
    <row r="67" spans="1:3" x14ac:dyDescent="0.5">
      <c r="B67" s="17"/>
      <c r="C67" s="16"/>
    </row>
    <row r="68" spans="1:3" x14ac:dyDescent="0.5">
      <c r="B68" s="17"/>
      <c r="C68" s="16"/>
    </row>
    <row r="69" spans="1:3" x14ac:dyDescent="0.5">
      <c r="A69" s="13"/>
      <c r="B69" s="14"/>
      <c r="C69" s="12"/>
    </row>
    <row r="70" spans="1:3" x14ac:dyDescent="0.5">
      <c r="A70" s="13"/>
      <c r="B70" s="14"/>
      <c r="C70" s="12"/>
    </row>
    <row r="71" spans="1:3" x14ac:dyDescent="0.5">
      <c r="A71" s="13"/>
      <c r="B71" s="14"/>
      <c r="C71" s="12"/>
    </row>
    <row r="72" spans="1:3" x14ac:dyDescent="0.5">
      <c r="A72" s="13"/>
      <c r="B72" s="15"/>
      <c r="C72" s="12"/>
    </row>
    <row r="73" spans="1:3" x14ac:dyDescent="0.5">
      <c r="A73" s="13"/>
      <c r="B73" s="14"/>
      <c r="C73" s="12"/>
    </row>
    <row r="74" spans="1:3" x14ac:dyDescent="0.5">
      <c r="A74" s="13"/>
      <c r="C74" s="12"/>
    </row>
    <row r="75" spans="1:3" x14ac:dyDescent="0.5">
      <c r="A75" s="13"/>
      <c r="C75" s="12"/>
    </row>
  </sheetData>
  <mergeCells count="8">
    <mergeCell ref="F27:J27"/>
    <mergeCell ref="F28:J28"/>
    <mergeCell ref="F29:J29"/>
    <mergeCell ref="B23:D23"/>
    <mergeCell ref="F23:J23"/>
    <mergeCell ref="F24:J24"/>
    <mergeCell ref="F25:J25"/>
    <mergeCell ref="F26:J26"/>
  </mergeCells>
  <hyperlinks>
    <hyperlink ref="F29:J29" location="Summary!A1" display="Click here to go to the summary tab"/>
    <hyperlink ref="F28:J28" location="'12.5 Pct'!A1" display="Click here to go to the 12.5% load condition tabs"/>
    <hyperlink ref="F27:J27" location="'25 Pct '!A1" display="Click here to go to the 25% load condition tabs"/>
    <hyperlink ref="F26:J26" location="'50 Pct'!A1" display="Click here to go to the 50% load condition tabs"/>
    <hyperlink ref="F25:J25" location="'75 Pct'!A1" display="Click here to go to the 75% load condition tabs"/>
    <hyperlink ref="F24:J24" location="'Design Point System Curve'!A1" display="Click here to go to the design condition tabs"/>
    <hyperlink ref="F23:J23" location="'1510 6G 1150rpm'!A1" display="Click here to go to the data used to plot the digital pump curve set"/>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7172" r:id="rId4">
          <objectPr defaultSize="0" autoPict="0" r:id="rId5">
            <anchor moveWithCells="1">
              <from>
                <xdr:col>7</xdr:col>
                <xdr:colOff>0</xdr:colOff>
                <xdr:row>0</xdr:row>
                <xdr:rowOff>0</xdr:rowOff>
              </from>
              <to>
                <xdr:col>11</xdr:col>
                <xdr:colOff>313267</xdr:colOff>
                <xdr:row>2</xdr:row>
                <xdr:rowOff>211667</xdr:rowOff>
              </to>
            </anchor>
          </objectPr>
        </oleObject>
      </mc:Choice>
      <mc:Fallback>
        <oleObject progId="Equation.DSMT4" shapeId="7172" r:id="rId4"/>
      </mc:Fallback>
    </mc:AlternateContent>
    <mc:AlternateContent xmlns:mc="http://schemas.openxmlformats.org/markup-compatibility/2006">
      <mc:Choice Requires="x14">
        <oleObject progId="Equation.DSMT4" shapeId="7173" r:id="rId6">
          <objectPr defaultSize="0" autoPict="0" r:id="rId7">
            <anchor moveWithCells="1">
              <from>
                <xdr:col>12</xdr:col>
                <xdr:colOff>0</xdr:colOff>
                <xdr:row>0</xdr:row>
                <xdr:rowOff>21167</xdr:rowOff>
              </from>
              <to>
                <xdr:col>16</xdr:col>
                <xdr:colOff>1354667</xdr:colOff>
                <xdr:row>5</xdr:row>
                <xdr:rowOff>105833</xdr:rowOff>
              </to>
            </anchor>
          </objectPr>
        </oleObject>
      </mc:Choice>
      <mc:Fallback>
        <oleObject progId="Equation.DSMT4" shapeId="7173" r:id="rId6"/>
      </mc:Fallback>
    </mc:AlternateContent>
    <mc:AlternateContent xmlns:mc="http://schemas.openxmlformats.org/markup-compatibility/2006">
      <mc:Choice Requires="x14">
        <oleObject progId="Equation.DSMT4" shapeId="7174" r:id="rId8">
          <objectPr defaultSize="0" autoPict="0" r:id="rId9">
            <anchor moveWithCells="1">
              <from>
                <xdr:col>7</xdr:col>
                <xdr:colOff>0</xdr:colOff>
                <xdr:row>3</xdr:row>
                <xdr:rowOff>0</xdr:rowOff>
              </from>
              <to>
                <xdr:col>11</xdr:col>
                <xdr:colOff>313267</xdr:colOff>
                <xdr:row>10</xdr:row>
                <xdr:rowOff>211667</xdr:rowOff>
              </to>
            </anchor>
          </objectPr>
        </oleObject>
      </mc:Choice>
      <mc:Fallback>
        <oleObject progId="Equation.DSMT4" shapeId="7174"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G92"/>
  <sheetViews>
    <sheetView topLeftCell="A70" workbookViewId="0">
      <selection activeCell="D68" sqref="D68:D91"/>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85</v>
      </c>
      <c r="B1" s="59"/>
      <c r="C1" s="59"/>
      <c r="D1" s="59"/>
      <c r="E1" s="59"/>
      <c r="F1" s="60"/>
      <c r="G1" s="60"/>
    </row>
    <row r="2" spans="1:7" x14ac:dyDescent="0.5">
      <c r="A2" s="61" t="s">
        <v>86</v>
      </c>
    </row>
    <row r="12" spans="1:7" x14ac:dyDescent="0.5">
      <c r="A12" s="63" t="s">
        <v>87</v>
      </c>
      <c r="B12" s="91">
        <f>'Design Point System Curve'!C10</f>
        <v>1300</v>
      </c>
      <c r="C12" s="90" t="s">
        <v>127</v>
      </c>
    </row>
    <row r="13" spans="1:7" x14ac:dyDescent="0.5">
      <c r="A13" s="63" t="s">
        <v>88</v>
      </c>
      <c r="B13" s="63">
        <f>'Design Point System Curve'!C53</f>
        <v>1330</v>
      </c>
      <c r="C13" s="65" t="s">
        <v>89</v>
      </c>
    </row>
    <row r="14" spans="1:7" x14ac:dyDescent="0.5">
      <c r="A14" s="63" t="s">
        <v>80</v>
      </c>
      <c r="B14" s="64">
        <f>'Design Point System Curve'!C17</f>
        <v>13.5</v>
      </c>
      <c r="C14" s="90" t="s">
        <v>131</v>
      </c>
    </row>
    <row r="15" spans="1:7" x14ac:dyDescent="0.5">
      <c r="A15" s="63" t="s">
        <v>82</v>
      </c>
      <c r="B15" s="64">
        <f>(B12/B13)*B14</f>
        <v>13.19548872180451</v>
      </c>
      <c r="C15" s="90" t="s">
        <v>130</v>
      </c>
    </row>
    <row r="16" spans="1:7" x14ac:dyDescent="0.5">
      <c r="A16" s="93" t="s">
        <v>136</v>
      </c>
      <c r="B16" s="94" t="str">
        <f>TEXT(B15,"###.000")&amp;" inch at "&amp;TEXT('Design Point System Curve'!C19,"#,###")&amp;" rpm"</f>
        <v>13.195 inch at 1,150 rpm</v>
      </c>
      <c r="C16" s="90"/>
    </row>
    <row r="17" spans="1:7" x14ac:dyDescent="0.5">
      <c r="A17" s="58" t="s">
        <v>94</v>
      </c>
      <c r="B17" s="59"/>
      <c r="C17" s="59"/>
      <c r="D17" s="59"/>
      <c r="E17" s="59"/>
      <c r="F17" s="60"/>
      <c r="G17" s="60"/>
    </row>
    <row r="18" spans="1:7" x14ac:dyDescent="0.5">
      <c r="A18" s="61" t="s">
        <v>79</v>
      </c>
    </row>
    <row r="28" spans="1:7" x14ac:dyDescent="0.5">
      <c r="A28" s="63" t="s">
        <v>80</v>
      </c>
      <c r="B28" s="64">
        <f>B14</f>
        <v>13.5</v>
      </c>
      <c r="C28" s="65" t="s">
        <v>81</v>
      </c>
    </row>
    <row r="29" spans="1:7" x14ac:dyDescent="0.5">
      <c r="A29" s="63" t="s">
        <v>82</v>
      </c>
      <c r="B29" s="64">
        <f>B15</f>
        <v>13.19548872180451</v>
      </c>
      <c r="C29" s="65" t="s">
        <v>106</v>
      </c>
    </row>
    <row r="30" spans="1:7" x14ac:dyDescent="0.5">
      <c r="A30" s="63"/>
      <c r="B30" s="66"/>
    </row>
    <row r="31" spans="1:7" ht="66.7" x14ac:dyDescent="0.5">
      <c r="B31" s="67" t="str">
        <f>TEXT(B28,"##.000")&amp;" Impeller Flow, gpm (Known value from digitized curve)"</f>
        <v>13.500 Impeller Flow, gpm (Known value from digitized curve)</v>
      </c>
      <c r="C31" s="67" t="str">
        <f>TEXT(B29,"##.000")&amp;" Impeller Flow, gpm (Calculated with the affinity law)"</f>
        <v>13.195 Impeller Flow, gpm (Calculated with the affinity law)</v>
      </c>
    </row>
    <row r="32" spans="1:7" x14ac:dyDescent="0.5">
      <c r="B32" s="79">
        <v>1.0000000000000001E-9</v>
      </c>
      <c r="C32" s="62">
        <f>B32*($B$29/$B$28)</f>
        <v>9.7744360902255649E-10</v>
      </c>
      <c r="D32" s="61" t="s">
        <v>83</v>
      </c>
    </row>
    <row r="33" spans="1:7" s="62" customFormat="1" x14ac:dyDescent="0.5">
      <c r="A33" s="61"/>
      <c r="B33" s="62">
        <f>'Impeller 6G 1150'!O10</f>
        <v>101.038</v>
      </c>
      <c r="C33" s="62">
        <f t="shared" ref="C33:C55" si="0">B33*($B$29/$B$28)</f>
        <v>98.758947368421047</v>
      </c>
      <c r="F33" s="61"/>
      <c r="G33" s="61"/>
    </row>
    <row r="34" spans="1:7" s="62" customFormat="1" x14ac:dyDescent="0.5">
      <c r="A34" s="61"/>
      <c r="B34" s="62">
        <f>'Impeller 6G 1150'!O11</f>
        <v>202.07599999999999</v>
      </c>
      <c r="C34" s="62">
        <f t="shared" si="0"/>
        <v>197.51789473684209</v>
      </c>
      <c r="F34" s="61"/>
      <c r="G34" s="61"/>
    </row>
    <row r="35" spans="1:7" s="62" customFormat="1" x14ac:dyDescent="0.5">
      <c r="A35" s="61"/>
      <c r="B35" s="62">
        <f>'Impeller 6G 1150'!O12</f>
        <v>301.73</v>
      </c>
      <c r="C35" s="62">
        <f t="shared" si="0"/>
        <v>294.92406015037596</v>
      </c>
      <c r="F35" s="61"/>
      <c r="G35" s="61"/>
    </row>
    <row r="36" spans="1:7" s="62" customFormat="1" x14ac:dyDescent="0.5">
      <c r="A36" s="61"/>
      <c r="B36" s="62">
        <f>'Impeller 6G 1150'!O13</f>
        <v>401.38400000000001</v>
      </c>
      <c r="C36" s="62">
        <f t="shared" si="0"/>
        <v>392.33022556390978</v>
      </c>
      <c r="F36" s="61"/>
      <c r="G36" s="61"/>
    </row>
    <row r="37" spans="1:7" s="62" customFormat="1" x14ac:dyDescent="0.5">
      <c r="A37" s="61"/>
      <c r="B37" s="62">
        <f>'Impeller 6G 1150'!O14</f>
        <v>502.42200000000003</v>
      </c>
      <c r="C37" s="62">
        <f t="shared" si="0"/>
        <v>491.08917293233083</v>
      </c>
      <c r="F37" s="61"/>
      <c r="G37" s="61"/>
    </row>
    <row r="38" spans="1:7" s="62" customFormat="1" x14ac:dyDescent="0.5">
      <c r="A38" s="61"/>
      <c r="B38" s="62">
        <f>'Impeller 6G 1150'!O15</f>
        <v>602.07600000000002</v>
      </c>
      <c r="C38" s="62">
        <f t="shared" si="0"/>
        <v>588.49533834586464</v>
      </c>
      <c r="F38" s="61"/>
      <c r="G38" s="61"/>
    </row>
    <row r="39" spans="1:7" s="62" customFormat="1" x14ac:dyDescent="0.5">
      <c r="A39" s="61"/>
      <c r="B39" s="62">
        <f>'Impeller 6G 1150'!O16</f>
        <v>703.11400000000003</v>
      </c>
      <c r="C39" s="62">
        <f t="shared" si="0"/>
        <v>687.25428571428574</v>
      </c>
      <c r="F39" s="61"/>
      <c r="G39" s="61"/>
    </row>
    <row r="40" spans="1:7" s="62" customFormat="1" x14ac:dyDescent="0.5">
      <c r="A40" s="61"/>
      <c r="B40" s="62">
        <f>'Impeller 6G 1150'!O17</f>
        <v>801.38400000000001</v>
      </c>
      <c r="C40" s="62">
        <f t="shared" si="0"/>
        <v>783.30766917293226</v>
      </c>
      <c r="F40" s="61"/>
      <c r="G40" s="61"/>
    </row>
    <row r="41" spans="1:7" s="62" customFormat="1" x14ac:dyDescent="0.5">
      <c r="A41" s="61"/>
      <c r="B41" s="62">
        <f>'Impeller 6G 1150'!O18</f>
        <v>903.80600000000004</v>
      </c>
      <c r="C41" s="62">
        <f t="shared" si="0"/>
        <v>883.41939849624055</v>
      </c>
      <c r="F41" s="61"/>
      <c r="G41" s="61"/>
    </row>
    <row r="42" spans="1:7" s="62" customFormat="1" x14ac:dyDescent="0.5">
      <c r="A42" s="61"/>
      <c r="B42" s="62">
        <f>'Impeller 6G 1150'!O19</f>
        <v>999.30799999999999</v>
      </c>
      <c r="C42" s="62">
        <f t="shared" si="0"/>
        <v>976.76721804511271</v>
      </c>
      <c r="F42" s="61"/>
      <c r="G42" s="61"/>
    </row>
    <row r="43" spans="1:7" s="62" customFormat="1" x14ac:dyDescent="0.5">
      <c r="A43" s="61"/>
      <c r="B43" s="62">
        <f>'Impeller 6G 1150'!O20</f>
        <v>1101.73</v>
      </c>
      <c r="C43" s="62">
        <f t="shared" si="0"/>
        <v>1076.878947368421</v>
      </c>
      <c r="F43" s="61"/>
      <c r="G43" s="61"/>
    </row>
    <row r="44" spans="1:7" s="62" customFormat="1" x14ac:dyDescent="0.5">
      <c r="A44" s="61"/>
      <c r="B44" s="62">
        <f>'Impeller 6G 1150'!O21</f>
        <v>1201.3800000000001</v>
      </c>
      <c r="C44" s="62">
        <f t="shared" si="0"/>
        <v>1174.2812030075188</v>
      </c>
      <c r="F44" s="61"/>
      <c r="G44" s="61"/>
    </row>
    <row r="45" spans="1:7" s="62" customFormat="1" x14ac:dyDescent="0.5">
      <c r="A45" s="61"/>
      <c r="B45" s="62">
        <f>'Impeller 6G 1150'!O22</f>
        <v>1302.42</v>
      </c>
      <c r="C45" s="62">
        <f t="shared" si="0"/>
        <v>1273.042105263158</v>
      </c>
      <c r="F45" s="61"/>
      <c r="G45" s="61"/>
    </row>
    <row r="46" spans="1:7" s="62" customFormat="1" x14ac:dyDescent="0.5">
      <c r="A46" s="61"/>
      <c r="B46" s="62">
        <f>'Impeller 6G 1150'!O23</f>
        <v>1402.08</v>
      </c>
      <c r="C46" s="62">
        <f t="shared" si="0"/>
        <v>1370.4541353383456</v>
      </c>
      <c r="F46" s="61"/>
      <c r="G46" s="61"/>
    </row>
    <row r="47" spans="1:7" s="62" customFormat="1" x14ac:dyDescent="0.5">
      <c r="A47" s="61"/>
      <c r="B47" s="62">
        <f>'Impeller 6G 1150'!O24</f>
        <v>1501.73</v>
      </c>
      <c r="C47" s="62">
        <f t="shared" si="0"/>
        <v>1467.8563909774437</v>
      </c>
      <c r="F47" s="61"/>
      <c r="G47" s="61"/>
    </row>
    <row r="48" spans="1:7" s="62" customFormat="1" x14ac:dyDescent="0.5">
      <c r="A48" s="61"/>
      <c r="B48" s="62">
        <f>'Impeller 6G 1150'!O25</f>
        <v>1600</v>
      </c>
      <c r="C48" s="62">
        <f t="shared" si="0"/>
        <v>1563.9097744360902</v>
      </c>
      <c r="F48" s="61"/>
      <c r="G48" s="61"/>
    </row>
    <row r="49" spans="1:7" x14ac:dyDescent="0.5">
      <c r="B49" s="62">
        <f>'Impeller 6G 1150'!O26</f>
        <v>1647.06</v>
      </c>
      <c r="C49" s="62">
        <f t="shared" si="0"/>
        <v>1609.9082706766917</v>
      </c>
    </row>
    <row r="50" spans="1:7" x14ac:dyDescent="0.5">
      <c r="B50" s="62">
        <f>'Impeller 6G 1150'!O27</f>
        <v>1699.65</v>
      </c>
      <c r="C50" s="62">
        <f t="shared" si="0"/>
        <v>1661.312030075188</v>
      </c>
    </row>
    <row r="51" spans="1:7" x14ac:dyDescent="0.5">
      <c r="B51" s="62">
        <f>'Impeller 6G 1150'!O28</f>
        <v>1791</v>
      </c>
      <c r="C51" s="62">
        <f t="shared" si="0"/>
        <v>1750.6015037593984</v>
      </c>
    </row>
    <row r="52" spans="1:7" x14ac:dyDescent="0.5">
      <c r="B52" s="62">
        <f>'Impeller 6G 1150'!O29</f>
        <v>1847.75</v>
      </c>
      <c r="C52" s="62">
        <f t="shared" si="0"/>
        <v>1806.0714285714284</v>
      </c>
    </row>
    <row r="53" spans="1:7" x14ac:dyDescent="0.5">
      <c r="B53" s="62">
        <f>'Impeller 6G 1150'!O30</f>
        <v>1903.11</v>
      </c>
      <c r="C53" s="62">
        <f t="shared" si="0"/>
        <v>1860.1827067669171</v>
      </c>
    </row>
    <row r="54" spans="1:7" x14ac:dyDescent="0.5">
      <c r="B54" s="62">
        <f>'Impeller 6G 1150'!O31</f>
        <v>1948.79</v>
      </c>
      <c r="C54" s="62">
        <f t="shared" si="0"/>
        <v>1904.8323308270676</v>
      </c>
    </row>
    <row r="55" spans="1:7" x14ac:dyDescent="0.5">
      <c r="B55" s="62">
        <f>'Impeller 6G 1150'!O32</f>
        <v>2013.84</v>
      </c>
      <c r="C55" s="62">
        <f t="shared" si="0"/>
        <v>1968.4150375939848</v>
      </c>
    </row>
    <row r="56" spans="1:7" x14ac:dyDescent="0.5">
      <c r="A56" s="58" t="s">
        <v>95</v>
      </c>
      <c r="B56" s="59"/>
      <c r="C56" s="59"/>
      <c r="D56" s="59"/>
      <c r="E56" s="59"/>
      <c r="F56" s="60"/>
      <c r="G56" s="60"/>
    </row>
    <row r="57" spans="1:7" x14ac:dyDescent="0.5">
      <c r="A57" s="61" t="s">
        <v>84</v>
      </c>
    </row>
    <row r="67" spans="2:5" s="69" customFormat="1" ht="66.7" x14ac:dyDescent="0.5">
      <c r="B67" s="67" t="str">
        <f>TEXT(B28,"##.000")&amp;" inch Impeller Flow, gpm (Known value from digitized curve)"</f>
        <v>13.500 inch Impeller Flow, gpm (Known value from digitized curve)</v>
      </c>
      <c r="C67" s="68" t="str">
        <f>TEXT(B29,"##.000")&amp;" inch Impeller Flow, gpm (Calculated above)"</f>
        <v>13.195 inch Impeller Flow, gpm (Calculated above)</v>
      </c>
      <c r="D67" s="67" t="str">
        <f>TEXT(B28,"##.000")&amp;" inch Impeller Head, ft.w.c. (Known value from digitized curve)"</f>
        <v>13.500 inch Impeller Head, ft.w.c. (Known value from digitized curve)</v>
      </c>
      <c r="E67" s="68" t="str">
        <f>TEXT(B29,"##.000")&amp;" inch Impeller Head, ft.w.c. (From square law)"</f>
        <v>13.195 inch Impeller Head, ft.w.c. (From square law)</v>
      </c>
    </row>
    <row r="68" spans="2:5" x14ac:dyDescent="0.5">
      <c r="B68" s="62">
        <f>B32</f>
        <v>1.0000000000000001E-9</v>
      </c>
      <c r="C68" s="70">
        <f>C32</f>
        <v>9.7744360902255649E-10</v>
      </c>
      <c r="D68" s="62">
        <f>'Impeller 6G 1150'!P9</f>
        <v>83.528300000000002</v>
      </c>
      <c r="E68" s="70">
        <f>D68*((C68/B68)^2)</f>
        <v>79.802604443439435</v>
      </c>
    </row>
    <row r="69" spans="2:5" x14ac:dyDescent="0.5">
      <c r="B69" s="62">
        <f>B33</f>
        <v>101.038</v>
      </c>
      <c r="C69" s="70">
        <f>C33</f>
        <v>98.758947368421047</v>
      </c>
      <c r="D69" s="62">
        <f>'Impeller 6G 1150'!P10</f>
        <v>83.625699999999995</v>
      </c>
      <c r="E69" s="70">
        <f>D69*((C69/B69)^2)</f>
        <v>79.895660014698379</v>
      </c>
    </row>
    <row r="70" spans="2:5" x14ac:dyDescent="0.5">
      <c r="B70" s="62">
        <f t="shared" ref="B70:C85" si="1">B34</f>
        <v>202.07599999999999</v>
      </c>
      <c r="C70" s="70">
        <f t="shared" si="1"/>
        <v>197.51789473684209</v>
      </c>
      <c r="D70" s="62">
        <f>'Impeller 6G 1150'!P11</f>
        <v>83.528300000000002</v>
      </c>
      <c r="E70" s="70">
        <f t="shared" ref="E70:E91" si="2">D70*((C70/B70)^2)</f>
        <v>79.802604443439421</v>
      </c>
    </row>
    <row r="71" spans="2:5" x14ac:dyDescent="0.5">
      <c r="B71" s="62">
        <f t="shared" si="1"/>
        <v>301.73</v>
      </c>
      <c r="C71" s="70">
        <f t="shared" si="1"/>
        <v>294.92406015037596</v>
      </c>
      <c r="D71" s="62">
        <f>'Impeller 6G 1150'!P12</f>
        <v>83.430800000000005</v>
      </c>
      <c r="E71" s="70">
        <f t="shared" si="2"/>
        <v>79.709453332579585</v>
      </c>
    </row>
    <row r="72" spans="2:5" x14ac:dyDescent="0.5">
      <c r="B72" s="62">
        <f t="shared" si="1"/>
        <v>401.38400000000001</v>
      </c>
      <c r="C72" s="70">
        <f t="shared" si="1"/>
        <v>392.33022556390978</v>
      </c>
      <c r="D72" s="62">
        <f>'Impeller 6G 1150'!P13</f>
        <v>83.235900000000001</v>
      </c>
      <c r="E72" s="70">
        <f t="shared" si="2"/>
        <v>79.523246650460734</v>
      </c>
    </row>
    <row r="73" spans="2:5" x14ac:dyDescent="0.5">
      <c r="B73" s="62">
        <f t="shared" si="1"/>
        <v>502.42200000000003</v>
      </c>
      <c r="C73" s="70">
        <f t="shared" si="1"/>
        <v>491.08917293233083</v>
      </c>
      <c r="D73" s="62">
        <f>'Impeller 6G 1150'!P14</f>
        <v>82.846000000000004</v>
      </c>
      <c r="E73" s="70">
        <f t="shared" si="2"/>
        <v>79.150737746622184</v>
      </c>
    </row>
    <row r="74" spans="2:5" x14ac:dyDescent="0.5">
      <c r="B74" s="62">
        <f t="shared" si="1"/>
        <v>602.07600000000002</v>
      </c>
      <c r="C74" s="70">
        <f t="shared" si="1"/>
        <v>588.49533834586464</v>
      </c>
      <c r="D74" s="62">
        <f>'Impeller 6G 1150'!P15</f>
        <v>82.456100000000006</v>
      </c>
      <c r="E74" s="70">
        <f t="shared" si="2"/>
        <v>78.778228842783648</v>
      </c>
    </row>
    <row r="75" spans="2:5" x14ac:dyDescent="0.5">
      <c r="B75" s="62">
        <f t="shared" si="1"/>
        <v>703.11400000000003</v>
      </c>
      <c r="C75" s="70">
        <f t="shared" si="1"/>
        <v>687.25428571428574</v>
      </c>
      <c r="D75" s="62">
        <f>'Impeller 6G 1150'!P16</f>
        <v>82.066299999999998</v>
      </c>
      <c r="E75" s="70">
        <f t="shared" si="2"/>
        <v>78.405815478545975</v>
      </c>
    </row>
    <row r="76" spans="2:5" x14ac:dyDescent="0.5">
      <c r="B76" s="62">
        <f t="shared" si="1"/>
        <v>801.38400000000001</v>
      </c>
      <c r="C76" s="70">
        <f t="shared" si="1"/>
        <v>783.30766917293226</v>
      </c>
      <c r="D76" s="62">
        <f>'Impeller 6G 1150'!P17</f>
        <v>81.676400000000001</v>
      </c>
      <c r="E76" s="70">
        <f t="shared" si="2"/>
        <v>78.033306574707439</v>
      </c>
    </row>
    <row r="77" spans="2:5" x14ac:dyDescent="0.5">
      <c r="B77" s="62">
        <f t="shared" si="1"/>
        <v>903.80600000000004</v>
      </c>
      <c r="C77" s="70">
        <f t="shared" si="1"/>
        <v>883.41939849624055</v>
      </c>
      <c r="D77" s="62">
        <f>'Impeller 6G 1150'!P18</f>
        <v>80.994100000000003</v>
      </c>
      <c r="E77" s="70">
        <f t="shared" si="2"/>
        <v>77.381439877890202</v>
      </c>
    </row>
    <row r="78" spans="2:5" x14ac:dyDescent="0.5">
      <c r="B78" s="62">
        <f t="shared" si="1"/>
        <v>999.30799999999999</v>
      </c>
      <c r="C78" s="70">
        <f t="shared" si="1"/>
        <v>976.76721804511271</v>
      </c>
      <c r="D78" s="62">
        <f>'Impeller 6G 1150'!P19</f>
        <v>80.019499999999994</v>
      </c>
      <c r="E78" s="70">
        <f t="shared" si="2"/>
        <v>76.450310927695156</v>
      </c>
    </row>
    <row r="79" spans="2:5" x14ac:dyDescent="0.5">
      <c r="B79" s="62">
        <f t="shared" si="1"/>
        <v>1101.73</v>
      </c>
      <c r="C79" s="70">
        <f t="shared" si="1"/>
        <v>1076.878947368421</v>
      </c>
      <c r="D79" s="62">
        <f>'Impeller 6G 1150'!P20</f>
        <v>78.3626</v>
      </c>
      <c r="E79" s="70">
        <f t="shared" si="2"/>
        <v>74.867315280682902</v>
      </c>
    </row>
    <row r="80" spans="2:5" x14ac:dyDescent="0.5">
      <c r="B80" s="62">
        <f t="shared" si="1"/>
        <v>1201.3800000000001</v>
      </c>
      <c r="C80" s="70">
        <f t="shared" si="1"/>
        <v>1174.2812030075188</v>
      </c>
      <c r="D80" s="62">
        <f>'Impeller 6G 1150'!P21</f>
        <v>76.413300000000007</v>
      </c>
      <c r="E80" s="70">
        <f t="shared" si="2"/>
        <v>73.004961840691948</v>
      </c>
    </row>
    <row r="81" spans="1:7" x14ac:dyDescent="0.5">
      <c r="B81" s="62">
        <f t="shared" si="1"/>
        <v>1302.42</v>
      </c>
      <c r="C81" s="70">
        <f t="shared" si="1"/>
        <v>1273.042105263158</v>
      </c>
      <c r="D81" s="62">
        <f>'Impeller 6G 1150'!P22</f>
        <v>74.074100000000001</v>
      </c>
      <c r="E81" s="70">
        <f t="shared" si="2"/>
        <v>70.770099496862443</v>
      </c>
    </row>
    <row r="82" spans="1:7" x14ac:dyDescent="0.5">
      <c r="B82" s="62">
        <f t="shared" si="1"/>
        <v>1402.08</v>
      </c>
      <c r="C82" s="70">
        <f t="shared" si="1"/>
        <v>1370.4541353383456</v>
      </c>
      <c r="D82" s="62">
        <f>'Impeller 6G 1150'!P23</f>
        <v>71.540000000000006</v>
      </c>
      <c r="E82" s="70">
        <f t="shared" si="2"/>
        <v>68.349030470914116</v>
      </c>
    </row>
    <row r="83" spans="1:7" x14ac:dyDescent="0.5">
      <c r="B83" s="62">
        <f t="shared" si="1"/>
        <v>1501.73</v>
      </c>
      <c r="C83" s="70">
        <f t="shared" si="1"/>
        <v>1467.8563909774437</v>
      </c>
      <c r="D83" s="62">
        <f>'Impeller 6G 1150'!P24</f>
        <v>68.518500000000003</v>
      </c>
      <c r="E83" s="70">
        <f t="shared" si="2"/>
        <v>65.462301430267402</v>
      </c>
    </row>
    <row r="84" spans="1:7" x14ac:dyDescent="0.5">
      <c r="B84" s="62">
        <f t="shared" si="1"/>
        <v>1600</v>
      </c>
      <c r="C84" s="70">
        <f t="shared" si="1"/>
        <v>1563.9097744360902</v>
      </c>
      <c r="D84" s="62">
        <f>'Impeller 6G 1150'!P25</f>
        <v>64.619900000000001</v>
      </c>
      <c r="E84" s="70">
        <f t="shared" si="2"/>
        <v>61.737594550285479</v>
      </c>
    </row>
    <row r="85" spans="1:7" x14ac:dyDescent="0.5">
      <c r="B85" s="62">
        <f t="shared" si="1"/>
        <v>1647.06</v>
      </c>
      <c r="C85" s="70">
        <f t="shared" si="1"/>
        <v>1609.9082706766917</v>
      </c>
      <c r="D85" s="62">
        <f>'Impeller 6G 1150'!P26</f>
        <v>62.4756</v>
      </c>
      <c r="E85" s="70">
        <f t="shared" si="2"/>
        <v>59.688938888574825</v>
      </c>
    </row>
    <row r="86" spans="1:7" x14ac:dyDescent="0.5">
      <c r="B86" s="62">
        <f t="shared" ref="B86:C91" si="3">B50</f>
        <v>1699.65</v>
      </c>
      <c r="C86" s="70">
        <f t="shared" si="3"/>
        <v>1661.312030075188</v>
      </c>
      <c r="D86" s="62">
        <f>'Impeller 6G 1150'!P27</f>
        <v>60.039000000000001</v>
      </c>
      <c r="E86" s="70">
        <f t="shared" si="2"/>
        <v>57.36102097348634</v>
      </c>
    </row>
    <row r="87" spans="1:7" x14ac:dyDescent="0.5">
      <c r="B87" s="62">
        <f t="shared" si="3"/>
        <v>1791</v>
      </c>
      <c r="C87" s="70">
        <f t="shared" si="3"/>
        <v>1750.6015037593984</v>
      </c>
      <c r="D87" s="62">
        <f>'Impeller 6G 1150'!P28</f>
        <v>55.165700000000001</v>
      </c>
      <c r="E87" s="70">
        <f t="shared" si="2"/>
        <v>52.705089603708515</v>
      </c>
    </row>
    <row r="88" spans="1:7" x14ac:dyDescent="0.5">
      <c r="B88" s="62">
        <f t="shared" si="3"/>
        <v>1847.75</v>
      </c>
      <c r="C88" s="70">
        <f t="shared" si="3"/>
        <v>1806.0714285714284</v>
      </c>
      <c r="D88" s="62">
        <f>'Impeller 6G 1150'!P29</f>
        <v>51.3645</v>
      </c>
      <c r="E88" s="70">
        <f t="shared" si="2"/>
        <v>49.073438294985579</v>
      </c>
    </row>
    <row r="89" spans="1:7" x14ac:dyDescent="0.5">
      <c r="B89" s="62">
        <f t="shared" si="3"/>
        <v>1903.11</v>
      </c>
      <c r="C89" s="70">
        <f t="shared" si="3"/>
        <v>1860.1827067669171</v>
      </c>
      <c r="D89" s="62">
        <f>'Impeller 6G 1150'!P30</f>
        <v>47.368400000000001</v>
      </c>
      <c r="E89" s="70">
        <f t="shared" si="2"/>
        <v>45.255580304143812</v>
      </c>
    </row>
    <row r="90" spans="1:7" x14ac:dyDescent="0.5">
      <c r="B90" s="62">
        <f t="shared" si="3"/>
        <v>1948.79</v>
      </c>
      <c r="C90" s="70">
        <f t="shared" si="3"/>
        <v>1904.8323308270676</v>
      </c>
      <c r="D90" s="62">
        <f>'Impeller 6G 1150'!P31</f>
        <v>43.8596</v>
      </c>
      <c r="E90" s="70">
        <f t="shared" si="2"/>
        <v>41.903286788399562</v>
      </c>
    </row>
    <row r="91" spans="1:7" x14ac:dyDescent="0.5">
      <c r="B91" s="62">
        <f t="shared" si="3"/>
        <v>2013.84</v>
      </c>
      <c r="C91" s="70">
        <f t="shared" si="3"/>
        <v>1968.4150375939848</v>
      </c>
      <c r="D91" s="62">
        <f>'Impeller 6G 1150'!P32</f>
        <v>38.401600000000002</v>
      </c>
      <c r="E91" s="70">
        <f t="shared" si="2"/>
        <v>36.688735372265249</v>
      </c>
    </row>
    <row r="92" spans="1:7" x14ac:dyDescent="0.5">
      <c r="A92" s="58" t="s">
        <v>96</v>
      </c>
      <c r="B92" s="59"/>
      <c r="C92" s="59"/>
      <c r="D92" s="59"/>
      <c r="E92" s="59"/>
      <c r="F92" s="60"/>
      <c r="G92" s="60"/>
    </row>
  </sheetData>
  <pageMargins left="0.7" right="0.7" top="0.75" bottom="0.75" header="0.3" footer="0.3"/>
  <drawing r:id="rId1"/>
  <legacyDrawing r:id="rId2"/>
  <oleObjects>
    <mc:AlternateContent xmlns:mc="http://schemas.openxmlformats.org/markup-compatibility/2006">
      <mc:Choice Requires="x14">
        <oleObject progId="Equation.DSMT4" shapeId="13313" r:id="rId3">
          <objectPr defaultSize="0" autoPict="0" r:id="rId4">
            <anchor moveWithCells="1">
              <from>
                <xdr:col>0</xdr:col>
                <xdr:colOff>0</xdr:colOff>
                <xdr:row>18</xdr:row>
                <xdr:rowOff>0</xdr:rowOff>
              </from>
              <to>
                <xdr:col>3</xdr:col>
                <xdr:colOff>21167</xdr:colOff>
                <xdr:row>26</xdr:row>
                <xdr:rowOff>46567</xdr:rowOff>
              </to>
            </anchor>
          </objectPr>
        </oleObject>
      </mc:Choice>
      <mc:Fallback>
        <oleObject progId="Equation.DSMT4" shapeId="13313" r:id="rId3"/>
      </mc:Fallback>
    </mc:AlternateContent>
    <mc:AlternateContent xmlns:mc="http://schemas.openxmlformats.org/markup-compatibility/2006">
      <mc:Choice Requires="x14">
        <oleObject progId="Equation.DSMT4" shapeId="13314" r:id="rId5">
          <objectPr defaultSize="0" autoPict="0" r:id="rId6">
            <anchor moveWithCells="1">
              <from>
                <xdr:col>0</xdr:col>
                <xdr:colOff>0</xdr:colOff>
                <xdr:row>57</xdr:row>
                <xdr:rowOff>160867</xdr:rowOff>
              </from>
              <to>
                <xdr:col>2</xdr:col>
                <xdr:colOff>1134533</xdr:colOff>
                <xdr:row>65</xdr:row>
                <xdr:rowOff>122767</xdr:rowOff>
              </to>
            </anchor>
          </objectPr>
        </oleObject>
      </mc:Choice>
      <mc:Fallback>
        <oleObject progId="Equation.DSMT4" shapeId="13314" r:id="rId5"/>
      </mc:Fallback>
    </mc:AlternateContent>
    <mc:AlternateContent xmlns:mc="http://schemas.openxmlformats.org/markup-compatibility/2006">
      <mc:Choice Requires="x14">
        <oleObject progId="Equation.DSMT4" shapeId="13315" r:id="rId7">
          <objectPr defaultSize="0" autoPict="0" r:id="rId8">
            <anchor moveWithCells="1">
              <from>
                <xdr:col>0</xdr:col>
                <xdr:colOff>0</xdr:colOff>
                <xdr:row>2</xdr:row>
                <xdr:rowOff>0</xdr:rowOff>
              </from>
              <to>
                <xdr:col>3</xdr:col>
                <xdr:colOff>21167</xdr:colOff>
                <xdr:row>10</xdr:row>
                <xdr:rowOff>46567</xdr:rowOff>
              </to>
            </anchor>
          </objectPr>
        </oleObject>
      </mc:Choice>
      <mc:Fallback>
        <oleObject progId="Equation.DSMT4" shapeId="13315"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5"/>
  </sheetPr>
  <dimension ref="A1:N73"/>
  <sheetViews>
    <sheetView defaultGridColor="0" colorId="22" workbookViewId="0"/>
  </sheetViews>
  <sheetFormatPr defaultColWidth="15.703125" defaultRowHeight="18.7" x14ac:dyDescent="0.5"/>
  <cols>
    <col min="1" max="1" width="22.41015625" style="10" customWidth="1"/>
    <col min="2" max="2" width="36.703125" style="11" customWidth="1"/>
    <col min="3" max="3" width="16.703125" style="10" customWidth="1"/>
    <col min="4" max="4" width="13.87890625" style="10" customWidth="1"/>
    <col min="5" max="5" width="15.703125" style="10"/>
    <col min="6" max="7" width="16.703125" style="10" customWidth="1"/>
    <col min="8" max="8" width="19.5859375" style="10" customWidth="1"/>
    <col min="9" max="9" width="15.703125" style="10"/>
    <col min="10" max="10" width="16.703125" style="10" customWidth="1"/>
    <col min="11" max="11" width="19.5859375" style="10" customWidth="1"/>
    <col min="12" max="13" width="15.703125" style="10"/>
    <col min="14" max="15" width="21" style="10" customWidth="1"/>
    <col min="16" max="17" width="22.41015625" style="10" customWidth="1"/>
    <col min="18" max="18" width="15.703125" style="10"/>
    <col min="19" max="19" width="16.703125" style="10" customWidth="1"/>
    <col min="20" max="20" width="21" style="10" customWidth="1"/>
    <col min="21" max="16384" width="15.703125" style="10"/>
  </cols>
  <sheetData>
    <row r="1" spans="1:14" s="48" customFormat="1" ht="117" customHeight="1" x14ac:dyDescent="0.5">
      <c r="B1" s="50"/>
      <c r="C1" s="49"/>
    </row>
    <row r="2" spans="1:14" ht="19.5" customHeight="1" x14ac:dyDescent="0.5">
      <c r="A2" s="47" t="s">
        <v>0</v>
      </c>
      <c r="B2" s="46"/>
      <c r="C2" s="43"/>
    </row>
    <row r="3" spans="1:14" ht="19.5" customHeight="1" x14ac:dyDescent="0.5">
      <c r="A3" s="47" t="s">
        <v>1</v>
      </c>
      <c r="B3" s="46"/>
      <c r="C3" s="43"/>
    </row>
    <row r="4" spans="1:14" x14ac:dyDescent="0.5">
      <c r="A4" s="45" t="s">
        <v>2</v>
      </c>
      <c r="B4" s="44"/>
      <c r="C4" s="43"/>
      <c r="D4" s="43"/>
    </row>
    <row r="5" spans="1:14" s="27" customFormat="1" x14ac:dyDescent="0.8">
      <c r="A5" s="41" t="s">
        <v>3</v>
      </c>
      <c r="B5" s="42">
        <v>42831.272505439818</v>
      </c>
      <c r="C5" s="31"/>
      <c r="D5" s="31"/>
      <c r="E5" s="28"/>
      <c r="F5" s="28"/>
      <c r="G5" s="30"/>
      <c r="H5" s="28"/>
      <c r="I5" s="28"/>
      <c r="J5" s="28"/>
      <c r="K5" s="28"/>
      <c r="L5" s="29"/>
      <c r="M5" s="28"/>
      <c r="N5" s="28"/>
    </row>
    <row r="6" spans="1:14" s="27" customFormat="1" x14ac:dyDescent="0.8">
      <c r="A6" s="41" t="s">
        <v>4</v>
      </c>
      <c r="B6" s="32" t="s">
        <v>64</v>
      </c>
      <c r="C6" s="31"/>
      <c r="D6" s="31"/>
      <c r="E6" s="28"/>
      <c r="F6" s="28"/>
      <c r="G6" s="30"/>
      <c r="H6" s="28"/>
      <c r="I6" s="28"/>
      <c r="J6" s="28"/>
      <c r="K6" s="28"/>
      <c r="L6" s="29"/>
      <c r="M6" s="28"/>
      <c r="N6" s="28"/>
    </row>
    <row r="7" spans="1:14" s="27" customFormat="1" x14ac:dyDescent="0.8">
      <c r="A7" s="41" t="s">
        <v>6</v>
      </c>
      <c r="B7" s="32"/>
      <c r="C7" s="31"/>
      <c r="D7" s="31"/>
      <c r="E7" s="28"/>
      <c r="F7" s="28"/>
      <c r="G7" s="30"/>
      <c r="H7" s="28"/>
      <c r="I7" s="28"/>
      <c r="J7" s="28"/>
      <c r="K7" s="28"/>
      <c r="L7" s="29"/>
      <c r="M7" s="28"/>
      <c r="N7" s="28"/>
    </row>
    <row r="8" spans="1:14" s="27" customFormat="1" x14ac:dyDescent="0.8">
      <c r="A8" s="41" t="s">
        <v>8</v>
      </c>
      <c r="B8" s="32" t="s">
        <v>9</v>
      </c>
      <c r="C8" s="31"/>
      <c r="D8" s="31"/>
      <c r="E8" s="28"/>
      <c r="F8" s="28"/>
      <c r="G8" s="28"/>
      <c r="H8" s="28"/>
      <c r="I8" s="28"/>
      <c r="J8" s="28"/>
      <c r="L8" s="29"/>
      <c r="M8" s="28"/>
      <c r="N8" s="28"/>
    </row>
    <row r="9" spans="1:14" s="27" customFormat="1" x14ac:dyDescent="0.5">
      <c r="A9" s="40" t="s">
        <v>10</v>
      </c>
      <c r="B9" s="31"/>
      <c r="C9" s="31"/>
      <c r="D9" s="31"/>
      <c r="E9" s="28"/>
      <c r="F9" s="28"/>
      <c r="G9" s="28"/>
      <c r="H9" s="28"/>
      <c r="I9" s="28"/>
      <c r="J9" s="28"/>
      <c r="L9" s="29"/>
      <c r="M9" s="28"/>
      <c r="N9" s="28"/>
    </row>
    <row r="10" spans="1:14" s="27" customFormat="1" x14ac:dyDescent="0.5">
      <c r="A10" s="33">
        <v>1</v>
      </c>
      <c r="B10" s="37" t="s">
        <v>63</v>
      </c>
      <c r="C10" s="39">
        <f>1300*0.75</f>
        <v>975</v>
      </c>
      <c r="D10" s="38" t="s">
        <v>125</v>
      </c>
      <c r="E10" s="28"/>
      <c r="F10" s="28"/>
      <c r="H10" s="28"/>
      <c r="I10" s="28"/>
      <c r="J10" s="28"/>
      <c r="L10" s="29"/>
      <c r="M10" s="28"/>
      <c r="N10" s="28"/>
    </row>
    <row r="11" spans="1:14" s="27" customFormat="1" x14ac:dyDescent="0.5">
      <c r="A11" s="33">
        <f>A10+1</f>
        <v>2</v>
      </c>
      <c r="B11" s="37" t="s">
        <v>62</v>
      </c>
      <c r="C11" s="36">
        <f>'Design Point System Curve'!C11</f>
        <v>70</v>
      </c>
      <c r="D11" s="32" t="s">
        <v>98</v>
      </c>
      <c r="E11" s="28"/>
      <c r="F11" s="28"/>
      <c r="G11" s="28"/>
      <c r="H11" s="28"/>
      <c r="I11" s="28"/>
      <c r="J11" s="28"/>
      <c r="L11" s="29"/>
      <c r="M11" s="28"/>
      <c r="N11" s="28"/>
    </row>
    <row r="12" spans="1:14" s="27" customFormat="1" x14ac:dyDescent="0.5">
      <c r="A12" s="33">
        <f>A11+1</f>
        <v>3</v>
      </c>
      <c r="B12" s="37" t="s">
        <v>61</v>
      </c>
      <c r="C12" s="36">
        <v>0</v>
      </c>
      <c r="D12" s="32" t="s">
        <v>111</v>
      </c>
      <c r="E12" s="28"/>
      <c r="F12" s="28"/>
      <c r="G12" s="28"/>
      <c r="H12" s="28"/>
      <c r="I12" s="28"/>
      <c r="J12" s="28"/>
      <c r="L12" s="29"/>
      <c r="M12" s="28"/>
      <c r="N12" s="28"/>
    </row>
    <row r="13" spans="1:14" s="27" customFormat="1" x14ac:dyDescent="0.5">
      <c r="A13" s="33">
        <v>4</v>
      </c>
      <c r="B13" s="37" t="s">
        <v>112</v>
      </c>
      <c r="C13" s="83">
        <v>2</v>
      </c>
      <c r="D13" s="32" t="s">
        <v>113</v>
      </c>
      <c r="E13" s="28"/>
      <c r="F13" s="28"/>
      <c r="G13" s="28"/>
      <c r="H13" s="28"/>
      <c r="I13" s="28"/>
      <c r="J13" s="28"/>
      <c r="L13" s="35"/>
      <c r="M13" s="28"/>
      <c r="N13" s="34"/>
    </row>
    <row r="14" spans="1:14" s="27" customFormat="1" x14ac:dyDescent="0.5">
      <c r="A14" s="33">
        <v>5</v>
      </c>
      <c r="B14" s="37" t="s">
        <v>78</v>
      </c>
      <c r="C14" s="95">
        <v>0.83499999999999996</v>
      </c>
      <c r="D14" s="32" t="s">
        <v>137</v>
      </c>
      <c r="E14" s="28"/>
      <c r="F14" s="28"/>
      <c r="G14" s="28"/>
      <c r="H14" s="28"/>
      <c r="I14" s="28"/>
      <c r="J14" s="28"/>
      <c r="L14" s="35"/>
      <c r="M14" s="28"/>
      <c r="N14" s="34"/>
    </row>
    <row r="15" spans="1:14" s="27" customFormat="1" x14ac:dyDescent="0.5">
      <c r="A15" s="33">
        <v>6</v>
      </c>
      <c r="B15" s="37" t="s">
        <v>76</v>
      </c>
      <c r="C15" s="57">
        <f>(C10*C11)/(3960*C14)</f>
        <v>20.640537107602977</v>
      </c>
      <c r="D15" s="32" t="s">
        <v>77</v>
      </c>
      <c r="E15" s="28"/>
      <c r="F15" s="28"/>
      <c r="G15" s="30"/>
      <c r="H15" s="28"/>
      <c r="I15" s="28"/>
      <c r="J15" s="28"/>
      <c r="K15" s="28"/>
      <c r="L15" s="29"/>
      <c r="M15" s="28"/>
      <c r="N15" s="28"/>
    </row>
    <row r="16" spans="1:14" s="27" customFormat="1" x14ac:dyDescent="0.5">
      <c r="A16" s="33">
        <v>7</v>
      </c>
      <c r="B16" s="37" t="s">
        <v>92</v>
      </c>
      <c r="C16" s="57">
        <v>13.5</v>
      </c>
      <c r="D16" s="32" t="s">
        <v>81</v>
      </c>
      <c r="E16" s="28"/>
      <c r="F16" s="28"/>
      <c r="G16" s="30"/>
      <c r="H16" s="28"/>
      <c r="I16" s="28"/>
      <c r="J16" s="28"/>
      <c r="K16" s="28"/>
      <c r="L16" s="29"/>
      <c r="M16" s="28"/>
      <c r="N16" s="28"/>
    </row>
    <row r="17" spans="1:14" s="27" customFormat="1" x14ac:dyDescent="0.5">
      <c r="A17" s="33">
        <v>8</v>
      </c>
      <c r="B17" s="37" t="s">
        <v>93</v>
      </c>
      <c r="C17" s="57">
        <v>10</v>
      </c>
      <c r="D17" s="32" t="s">
        <v>81</v>
      </c>
      <c r="E17" s="28"/>
      <c r="F17" s="28"/>
      <c r="G17" s="30"/>
      <c r="H17" s="28"/>
      <c r="I17" s="28"/>
      <c r="J17" s="28"/>
      <c r="K17" s="28"/>
      <c r="L17" s="29"/>
      <c r="M17" s="28"/>
      <c r="N17" s="28"/>
    </row>
    <row r="18" spans="1:14" s="27" customFormat="1" x14ac:dyDescent="0.5">
      <c r="A18" s="33"/>
      <c r="B18" s="32" t="s">
        <v>114</v>
      </c>
      <c r="C18" s="57"/>
      <c r="D18" s="32"/>
      <c r="E18" s="28"/>
      <c r="F18" s="28"/>
      <c r="G18" s="30"/>
      <c r="H18" s="28"/>
      <c r="I18" s="28"/>
      <c r="J18" s="28"/>
      <c r="K18" s="28"/>
      <c r="L18" s="29"/>
      <c r="M18" s="28"/>
      <c r="N18" s="28"/>
    </row>
    <row r="19" spans="1:14" s="27" customFormat="1" x14ac:dyDescent="0.5">
      <c r="A19" s="33"/>
      <c r="B19" s="32" t="s">
        <v>115</v>
      </c>
      <c r="C19" s="57"/>
      <c r="D19" s="32"/>
      <c r="E19" s="28"/>
      <c r="F19" s="28"/>
      <c r="G19" s="30"/>
      <c r="H19" s="28"/>
      <c r="I19" s="28"/>
      <c r="J19" s="28"/>
      <c r="K19" s="28"/>
      <c r="L19" s="29"/>
      <c r="M19" s="28"/>
      <c r="N19" s="28"/>
    </row>
    <row r="20" spans="1:14" x14ac:dyDescent="0.5">
      <c r="A20" s="26"/>
      <c r="B20" s="25"/>
      <c r="C20" s="20"/>
      <c r="D20" s="20"/>
    </row>
    <row r="21" spans="1:14" ht="24.95" customHeight="1" x14ac:dyDescent="0.5">
      <c r="A21" s="24"/>
      <c r="B21" s="240" t="s">
        <v>60</v>
      </c>
      <c r="C21" s="240"/>
      <c r="D21" s="240"/>
      <c r="E21" s="98"/>
      <c r="F21" s="237" t="s">
        <v>139</v>
      </c>
      <c r="G21" s="237"/>
      <c r="H21" s="237"/>
      <c r="I21" s="237"/>
      <c r="J21" s="237"/>
      <c r="K21" s="98"/>
    </row>
    <row r="22" spans="1:14" ht="24.95" customHeight="1" x14ac:dyDescent="0.5">
      <c r="A22" s="13"/>
      <c r="B22" s="80" t="s">
        <v>59</v>
      </c>
      <c r="C22" s="81" t="s">
        <v>49</v>
      </c>
      <c r="D22" s="82" t="s">
        <v>116</v>
      </c>
      <c r="E22" s="100"/>
      <c r="F22" s="237" t="s">
        <v>140</v>
      </c>
      <c r="G22" s="237"/>
      <c r="H22" s="237"/>
      <c r="I22" s="237"/>
      <c r="J22" s="237"/>
      <c r="K22" s="100"/>
    </row>
    <row r="23" spans="1:14" x14ac:dyDescent="0.5">
      <c r="A23" s="13"/>
      <c r="B23" s="21" t="s">
        <v>100</v>
      </c>
      <c r="C23" s="23">
        <f>1.6*C25</f>
        <v>1560</v>
      </c>
      <c r="D23" s="52">
        <f>$D$40+(($D$25-$D$40)*((C23/$C$25)^$C$13))</f>
        <v>179.20000000000005</v>
      </c>
      <c r="E23" s="101"/>
      <c r="F23" s="237" t="s">
        <v>141</v>
      </c>
      <c r="G23" s="237"/>
      <c r="H23" s="237"/>
      <c r="I23" s="237"/>
      <c r="J23" s="237"/>
      <c r="K23" s="101"/>
    </row>
    <row r="24" spans="1:14" x14ac:dyDescent="0.5">
      <c r="A24" s="13"/>
      <c r="B24" s="22" t="s">
        <v>57</v>
      </c>
      <c r="C24" s="53">
        <f>1.2*C25</f>
        <v>1170</v>
      </c>
      <c r="D24" s="54">
        <f>$D$40+(($D$25-$D$40)*((C24/$C$25)^$C$13))</f>
        <v>100.8</v>
      </c>
      <c r="E24" s="102"/>
      <c r="F24" s="237" t="s">
        <v>142</v>
      </c>
      <c r="G24" s="237"/>
      <c r="H24" s="237"/>
      <c r="I24" s="237"/>
      <c r="J24" s="237"/>
      <c r="K24" s="102"/>
    </row>
    <row r="25" spans="1:14" x14ac:dyDescent="0.5">
      <c r="A25" s="13"/>
      <c r="B25" s="86" t="s">
        <v>56</v>
      </c>
      <c r="C25" s="87">
        <f>$C$10</f>
        <v>975</v>
      </c>
      <c r="D25" s="88">
        <f>$C$11</f>
        <v>70</v>
      </c>
      <c r="E25" s="103"/>
      <c r="F25" s="237" t="s">
        <v>143</v>
      </c>
      <c r="G25" s="237"/>
      <c r="H25" s="237"/>
      <c r="I25" s="237"/>
      <c r="J25" s="237"/>
      <c r="K25" s="103"/>
    </row>
    <row r="26" spans="1:14" x14ac:dyDescent="0.5">
      <c r="A26" s="13"/>
      <c r="B26" s="22" t="s">
        <v>55</v>
      </c>
      <c r="C26" s="53">
        <f>0.8*C25</f>
        <v>780</v>
      </c>
      <c r="D26" s="54">
        <f t="shared" ref="D26:D39" si="0">$D$40+(($D$25-$D$40)*((C26/$C$25)^$C$13))</f>
        <v>44.800000000000011</v>
      </c>
      <c r="E26" s="104"/>
      <c r="F26" s="237" t="s">
        <v>144</v>
      </c>
      <c r="G26" s="237"/>
      <c r="H26" s="237"/>
      <c r="I26" s="237"/>
      <c r="J26" s="237"/>
      <c r="K26" s="104"/>
    </row>
    <row r="27" spans="1:14" x14ac:dyDescent="0.5">
      <c r="A27" s="13"/>
      <c r="B27" s="21" t="s">
        <v>54</v>
      </c>
      <c r="C27" s="23">
        <f>0.6*C25</f>
        <v>585</v>
      </c>
      <c r="D27" s="52">
        <f t="shared" si="0"/>
        <v>25.2</v>
      </c>
      <c r="E27" s="105"/>
      <c r="F27" s="237" t="s">
        <v>146</v>
      </c>
      <c r="G27" s="237"/>
      <c r="H27" s="237"/>
      <c r="I27" s="237"/>
      <c r="J27" s="237"/>
      <c r="K27" s="105"/>
    </row>
    <row r="28" spans="1:14" x14ac:dyDescent="0.5">
      <c r="A28" s="13"/>
      <c r="B28" s="22" t="s">
        <v>53</v>
      </c>
      <c r="C28" s="53">
        <f>0.4*C25</f>
        <v>390</v>
      </c>
      <c r="D28" s="54">
        <f t="shared" si="0"/>
        <v>11.200000000000003</v>
      </c>
    </row>
    <row r="29" spans="1:14" x14ac:dyDescent="0.5">
      <c r="A29" s="13"/>
      <c r="B29" s="21" t="s">
        <v>67</v>
      </c>
      <c r="C29" s="23">
        <f>0.3*C25</f>
        <v>292.5</v>
      </c>
      <c r="D29" s="52">
        <f t="shared" si="0"/>
        <v>6.3</v>
      </c>
    </row>
    <row r="30" spans="1:14" x14ac:dyDescent="0.5">
      <c r="A30" s="13"/>
      <c r="B30" s="22" t="s">
        <v>52</v>
      </c>
      <c r="C30" s="53">
        <f>0.2*C25</f>
        <v>195</v>
      </c>
      <c r="D30" s="54">
        <f t="shared" si="0"/>
        <v>2.8000000000000007</v>
      </c>
    </row>
    <row r="31" spans="1:14" x14ac:dyDescent="0.5">
      <c r="A31" s="13"/>
      <c r="B31" s="21" t="s">
        <v>68</v>
      </c>
      <c r="C31" s="23">
        <f>0.18*C25</f>
        <v>175.5</v>
      </c>
      <c r="D31" s="52">
        <f t="shared" si="0"/>
        <v>2.2679999999999998</v>
      </c>
    </row>
    <row r="32" spans="1:14" x14ac:dyDescent="0.5">
      <c r="A32" s="13"/>
      <c r="B32" s="22" t="s">
        <v>69</v>
      </c>
      <c r="C32" s="53">
        <f>0.16*C25</f>
        <v>156</v>
      </c>
      <c r="D32" s="54">
        <f t="shared" si="0"/>
        <v>1.792</v>
      </c>
    </row>
    <row r="33" spans="1:5" x14ac:dyDescent="0.5">
      <c r="A33" s="13"/>
      <c r="B33" s="21" t="s">
        <v>70</v>
      </c>
      <c r="C33" s="23">
        <f>0.14*C25</f>
        <v>136.5</v>
      </c>
      <c r="D33" s="52">
        <f t="shared" si="0"/>
        <v>1.3720000000000001</v>
      </c>
    </row>
    <row r="34" spans="1:5" x14ac:dyDescent="0.5">
      <c r="A34" s="13"/>
      <c r="B34" s="22" t="s">
        <v>71</v>
      </c>
      <c r="C34" s="53">
        <f>0.12*C25</f>
        <v>117</v>
      </c>
      <c r="D34" s="54">
        <f t="shared" si="0"/>
        <v>1.008</v>
      </c>
    </row>
    <row r="35" spans="1:5" x14ac:dyDescent="0.5">
      <c r="A35" s="13"/>
      <c r="B35" s="21" t="s">
        <v>51</v>
      </c>
      <c r="C35" s="23">
        <f>0.1*C25</f>
        <v>97.5</v>
      </c>
      <c r="D35" s="52">
        <f t="shared" si="0"/>
        <v>0.70000000000000018</v>
      </c>
    </row>
    <row r="36" spans="1:5" x14ac:dyDescent="0.5">
      <c r="A36" s="13"/>
      <c r="B36" s="22" t="s">
        <v>72</v>
      </c>
      <c r="C36" s="53">
        <f>0.08*C25</f>
        <v>78</v>
      </c>
      <c r="D36" s="54">
        <f t="shared" si="0"/>
        <v>0.44800000000000001</v>
      </c>
    </row>
    <row r="37" spans="1:5" x14ac:dyDescent="0.5">
      <c r="A37" s="13"/>
      <c r="B37" s="21" t="s">
        <v>73</v>
      </c>
      <c r="C37" s="23">
        <f>0.06*C25</f>
        <v>58.5</v>
      </c>
      <c r="D37" s="52">
        <f t="shared" si="0"/>
        <v>0.252</v>
      </c>
    </row>
    <row r="38" spans="1:5" x14ac:dyDescent="0.5">
      <c r="A38" s="13"/>
      <c r="B38" s="22" t="s">
        <v>74</v>
      </c>
      <c r="C38" s="53">
        <f>0.04*C27</f>
        <v>23.400000000000002</v>
      </c>
      <c r="D38" s="54">
        <f t="shared" si="0"/>
        <v>4.0320000000000002E-2</v>
      </c>
    </row>
    <row r="39" spans="1:5" x14ac:dyDescent="0.5">
      <c r="A39" s="13"/>
      <c r="B39" s="21" t="s">
        <v>75</v>
      </c>
      <c r="C39" s="23">
        <f>0.02*C27</f>
        <v>11.700000000000001</v>
      </c>
      <c r="D39" s="52">
        <f t="shared" si="0"/>
        <v>1.008E-2</v>
      </c>
    </row>
    <row r="40" spans="1:5" x14ac:dyDescent="0.5">
      <c r="A40" s="13"/>
      <c r="B40" s="22" t="s">
        <v>50</v>
      </c>
      <c r="C40" s="53">
        <v>0</v>
      </c>
      <c r="D40" s="56">
        <f>$C$12</f>
        <v>0</v>
      </c>
      <c r="E40" s="20"/>
    </row>
    <row r="41" spans="1:5" x14ac:dyDescent="0.5">
      <c r="B41" s="51"/>
      <c r="C41" s="20"/>
      <c r="D41" s="20"/>
    </row>
    <row r="42" spans="1:5" x14ac:dyDescent="0.5">
      <c r="A42" s="13"/>
      <c r="B42" s="71" t="s">
        <v>99</v>
      </c>
      <c r="C42" s="72"/>
      <c r="D42" s="73"/>
    </row>
    <row r="43" spans="1:5" x14ac:dyDescent="0.5">
      <c r="A43" s="13"/>
      <c r="B43" s="22" t="s">
        <v>65</v>
      </c>
      <c r="C43" s="55">
        <v>2500</v>
      </c>
      <c r="D43" s="54">
        <f>D25</f>
        <v>70</v>
      </c>
      <c r="E43" s="10" t="s">
        <v>117</v>
      </c>
    </row>
    <row r="44" spans="1:5" x14ac:dyDescent="0.5">
      <c r="A44" s="13"/>
      <c r="B44" s="21"/>
      <c r="C44" s="55">
        <v>0</v>
      </c>
      <c r="D44" s="52">
        <f>D43</f>
        <v>70</v>
      </c>
    </row>
    <row r="45" spans="1:5" x14ac:dyDescent="0.5">
      <c r="A45" s="13"/>
      <c r="B45" s="22" t="s">
        <v>66</v>
      </c>
      <c r="C45" s="53">
        <f>C25</f>
        <v>975</v>
      </c>
      <c r="D45" s="85">
        <v>90</v>
      </c>
      <c r="E45" s="10" t="s">
        <v>118</v>
      </c>
    </row>
    <row r="46" spans="1:5" x14ac:dyDescent="0.5">
      <c r="A46" s="13"/>
      <c r="B46" s="21"/>
      <c r="C46" s="23">
        <f>C45</f>
        <v>975</v>
      </c>
      <c r="D46" s="85">
        <f>D40</f>
        <v>0</v>
      </c>
    </row>
    <row r="47" spans="1:5" x14ac:dyDescent="0.5">
      <c r="A47" s="13"/>
    </row>
    <row r="48" spans="1:5" x14ac:dyDescent="0.5">
      <c r="A48" s="13"/>
      <c r="B48" s="71" t="s">
        <v>101</v>
      </c>
      <c r="C48" s="72"/>
      <c r="D48" s="73"/>
    </row>
    <row r="49" spans="1:5" x14ac:dyDescent="0.5">
      <c r="A49" s="13"/>
      <c r="B49" s="22" t="s">
        <v>65</v>
      </c>
      <c r="C49" s="74">
        <f>C43</f>
        <v>2500</v>
      </c>
      <c r="D49" s="84">
        <v>75.8</v>
      </c>
      <c r="E49" s="10" t="s">
        <v>120</v>
      </c>
    </row>
    <row r="50" spans="1:5" x14ac:dyDescent="0.5">
      <c r="A50" s="13"/>
      <c r="B50" s="21"/>
      <c r="C50" s="23">
        <v>0</v>
      </c>
      <c r="D50" s="52">
        <f>D49</f>
        <v>75.8</v>
      </c>
    </row>
    <row r="51" spans="1:5" x14ac:dyDescent="0.5">
      <c r="A51" s="13"/>
      <c r="B51" s="22" t="s">
        <v>66</v>
      </c>
      <c r="C51" s="77">
        <v>1015</v>
      </c>
      <c r="D51" s="75">
        <f>D45</f>
        <v>90</v>
      </c>
      <c r="E51" s="10" t="s">
        <v>119</v>
      </c>
    </row>
    <row r="52" spans="1:5" x14ac:dyDescent="0.5">
      <c r="A52" s="13"/>
      <c r="B52" s="21"/>
      <c r="C52" s="23">
        <f>C51</f>
        <v>1015</v>
      </c>
      <c r="D52" s="76">
        <f>D46</f>
        <v>0</v>
      </c>
    </row>
    <row r="53" spans="1:5" x14ac:dyDescent="0.5">
      <c r="A53" s="13"/>
      <c r="B53" s="17"/>
    </row>
    <row r="54" spans="1:5" x14ac:dyDescent="0.5">
      <c r="A54" s="13"/>
      <c r="B54" s="17"/>
    </row>
    <row r="55" spans="1:5" x14ac:dyDescent="0.5">
      <c r="A55" s="13"/>
      <c r="B55" s="17"/>
    </row>
    <row r="56" spans="1:5" x14ac:dyDescent="0.5">
      <c r="A56" s="13"/>
      <c r="B56" s="17"/>
      <c r="C56" s="16"/>
    </row>
    <row r="57" spans="1:5" x14ac:dyDescent="0.5">
      <c r="A57" s="13"/>
      <c r="B57" s="17"/>
      <c r="C57" s="16"/>
    </row>
    <row r="58" spans="1:5" x14ac:dyDescent="0.5">
      <c r="A58" s="13"/>
      <c r="B58" s="17"/>
      <c r="C58" s="16"/>
    </row>
    <row r="59" spans="1:5" x14ac:dyDescent="0.5">
      <c r="A59" s="13"/>
      <c r="B59" s="17"/>
      <c r="C59" s="16"/>
    </row>
    <row r="60" spans="1:5" x14ac:dyDescent="0.5">
      <c r="A60" s="13"/>
      <c r="B60" s="17"/>
      <c r="C60" s="16"/>
    </row>
    <row r="61" spans="1:5" x14ac:dyDescent="0.5">
      <c r="A61" s="13"/>
      <c r="B61" s="17"/>
      <c r="C61" s="16"/>
    </row>
    <row r="62" spans="1:5" x14ac:dyDescent="0.5">
      <c r="A62" s="19"/>
      <c r="B62" s="17"/>
      <c r="C62" s="16"/>
    </row>
    <row r="63" spans="1:5" x14ac:dyDescent="0.5">
      <c r="A63" s="13"/>
      <c r="B63" s="17"/>
      <c r="C63" s="16"/>
    </row>
    <row r="64" spans="1:5" x14ac:dyDescent="0.5">
      <c r="A64" s="18"/>
      <c r="B64" s="17"/>
      <c r="C64" s="16"/>
    </row>
    <row r="65" spans="1:3" x14ac:dyDescent="0.5">
      <c r="B65" s="17"/>
      <c r="C65" s="16"/>
    </row>
    <row r="66" spans="1:3" x14ac:dyDescent="0.5">
      <c r="B66" s="17"/>
      <c r="C66" s="16"/>
    </row>
    <row r="67" spans="1:3" x14ac:dyDescent="0.5">
      <c r="A67" s="13"/>
      <c r="B67" s="14"/>
      <c r="C67" s="12"/>
    </row>
    <row r="68" spans="1:3" x14ac:dyDescent="0.5">
      <c r="A68" s="13"/>
      <c r="B68" s="14"/>
      <c r="C68" s="12"/>
    </row>
    <row r="69" spans="1:3" x14ac:dyDescent="0.5">
      <c r="A69" s="13"/>
      <c r="B69" s="14"/>
      <c r="C69" s="12"/>
    </row>
    <row r="70" spans="1:3" x14ac:dyDescent="0.5">
      <c r="A70" s="13"/>
      <c r="B70" s="15"/>
      <c r="C70" s="12"/>
    </row>
    <row r="71" spans="1:3" x14ac:dyDescent="0.5">
      <c r="A71" s="13"/>
      <c r="B71" s="14"/>
      <c r="C71" s="12"/>
    </row>
    <row r="72" spans="1:3" x14ac:dyDescent="0.5">
      <c r="A72" s="13"/>
      <c r="C72" s="12"/>
    </row>
    <row r="73" spans="1:3" x14ac:dyDescent="0.5">
      <c r="A73" s="13"/>
      <c r="C73" s="12"/>
    </row>
  </sheetData>
  <mergeCells count="8">
    <mergeCell ref="F25:J25"/>
    <mergeCell ref="F26:J26"/>
    <mergeCell ref="F27:J27"/>
    <mergeCell ref="B21:D21"/>
    <mergeCell ref="F21:J21"/>
    <mergeCell ref="F22:J22"/>
    <mergeCell ref="F23:J23"/>
    <mergeCell ref="F24:J24"/>
  </mergeCells>
  <hyperlinks>
    <hyperlink ref="F27:J27" location="Summary!A1" display="Click here to go to the summary tab"/>
    <hyperlink ref="F26:J26" location="'12.5 Pct'!A1" display="Click here to go to the 12.5% load condition tabs"/>
    <hyperlink ref="F25:J25" location="'25 Pct '!A1" display="Click here to go to the 25% load condition tabs"/>
    <hyperlink ref="F24:J24" location="'50 Pct'!A1" display="Click here to go to the 50% load condition tabs"/>
    <hyperlink ref="F23:J23" location="'75 Pct'!A1" display="Click here to go to the 75% load condition tabs"/>
    <hyperlink ref="F22:J22" location="'Design Point System Curve'!A1" display="Click here to go to the design condition tabs"/>
    <hyperlink ref="F21:J21" location="'1510 6G 1150rpm'!A1" display="Click here to go to the data used to plot the digital pump curve set"/>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44033" r:id="rId4">
          <objectPr defaultSize="0" autoPict="0" r:id="rId5">
            <anchor moveWithCells="1">
              <from>
                <xdr:col>7</xdr:col>
                <xdr:colOff>0</xdr:colOff>
                <xdr:row>0</xdr:row>
                <xdr:rowOff>0</xdr:rowOff>
              </from>
              <to>
                <xdr:col>11</xdr:col>
                <xdr:colOff>313267</xdr:colOff>
                <xdr:row>2</xdr:row>
                <xdr:rowOff>211667</xdr:rowOff>
              </to>
            </anchor>
          </objectPr>
        </oleObject>
      </mc:Choice>
      <mc:Fallback>
        <oleObject progId="Equation.DSMT4" shapeId="44033" r:id="rId4"/>
      </mc:Fallback>
    </mc:AlternateContent>
    <mc:AlternateContent xmlns:mc="http://schemas.openxmlformats.org/markup-compatibility/2006">
      <mc:Choice Requires="x14">
        <oleObject progId="Equation.DSMT4" shapeId="44034" r:id="rId6">
          <objectPr defaultSize="0" autoPict="0" r:id="rId7">
            <anchor moveWithCells="1">
              <from>
                <xdr:col>12</xdr:col>
                <xdr:colOff>0</xdr:colOff>
                <xdr:row>0</xdr:row>
                <xdr:rowOff>21167</xdr:rowOff>
              </from>
              <to>
                <xdr:col>16</xdr:col>
                <xdr:colOff>1354667</xdr:colOff>
                <xdr:row>5</xdr:row>
                <xdr:rowOff>105833</xdr:rowOff>
              </to>
            </anchor>
          </objectPr>
        </oleObject>
      </mc:Choice>
      <mc:Fallback>
        <oleObject progId="Equation.DSMT4" shapeId="44034" r:id="rId6"/>
      </mc:Fallback>
    </mc:AlternateContent>
    <mc:AlternateContent xmlns:mc="http://schemas.openxmlformats.org/markup-compatibility/2006">
      <mc:Choice Requires="x14">
        <oleObject progId="Equation.DSMT4" shapeId="44035" r:id="rId8">
          <objectPr defaultSize="0" autoPict="0" r:id="rId9">
            <anchor moveWithCells="1">
              <from>
                <xdr:col>7</xdr:col>
                <xdr:colOff>0</xdr:colOff>
                <xdr:row>3</xdr:row>
                <xdr:rowOff>0</xdr:rowOff>
              </from>
              <to>
                <xdr:col>11</xdr:col>
                <xdr:colOff>313267</xdr:colOff>
                <xdr:row>10</xdr:row>
                <xdr:rowOff>211667</xdr:rowOff>
              </to>
            </anchor>
          </objectPr>
        </oleObject>
      </mc:Choice>
      <mc:Fallback>
        <oleObject progId="Equation.DSMT4" shapeId="44035"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98"/>
  <sheetViews>
    <sheetView topLeftCell="A12" workbookViewId="0">
      <selection activeCell="B18" sqref="B18:C18"/>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102</v>
      </c>
      <c r="B1" s="59"/>
      <c r="C1" s="59"/>
      <c r="D1" s="59"/>
      <c r="E1" s="59"/>
      <c r="F1" s="60"/>
      <c r="G1" s="60"/>
    </row>
    <row r="2" spans="1:7" x14ac:dyDescent="0.5">
      <c r="A2" s="61" t="s">
        <v>86</v>
      </c>
    </row>
    <row r="17" spans="1:7" x14ac:dyDescent="0.5">
      <c r="A17" s="63" t="s">
        <v>87</v>
      </c>
      <c r="B17" s="91">
        <f>'75 Pct'!C10</f>
        <v>975</v>
      </c>
      <c r="C17" s="90" t="s">
        <v>126</v>
      </c>
    </row>
    <row r="18" spans="1:7" x14ac:dyDescent="0.5">
      <c r="A18" s="63" t="s">
        <v>88</v>
      </c>
      <c r="B18" s="63">
        <f>'75 Pct'!C51</f>
        <v>1015</v>
      </c>
      <c r="C18" s="236" t="s">
        <v>203</v>
      </c>
    </row>
    <row r="19" spans="1:7" x14ac:dyDescent="0.5">
      <c r="A19" s="63" t="s">
        <v>103</v>
      </c>
      <c r="B19" s="89">
        <v>1150</v>
      </c>
      <c r="C19" s="90" t="s">
        <v>122</v>
      </c>
    </row>
    <row r="20" spans="1:7" x14ac:dyDescent="0.5">
      <c r="A20" s="63" t="s">
        <v>110</v>
      </c>
      <c r="B20" s="89">
        <v>0</v>
      </c>
      <c r="C20" s="90" t="s">
        <v>121</v>
      </c>
    </row>
    <row r="21" spans="1:7" x14ac:dyDescent="0.5">
      <c r="A21" s="63" t="s">
        <v>104</v>
      </c>
      <c r="B21" s="63">
        <f>((B17/B18)*B19)+B20</f>
        <v>1104.6798029556651</v>
      </c>
      <c r="C21" s="65" t="s">
        <v>109</v>
      </c>
    </row>
    <row r="22" spans="1:7" x14ac:dyDescent="0.5">
      <c r="A22" s="93" t="s">
        <v>136</v>
      </c>
      <c r="B22" s="65" t="str">
        <f>TEXT('Design Impeller from Largest'!B15,"##.000")&amp;" inch impeller at "&amp;TEXT('75 Pct Speed Estimate '!B21,"#,###")&amp;" rpm from the affinity law"</f>
        <v>13.195 inch impeller at 1,105 rpm from the affinity law</v>
      </c>
      <c r="C22" s="65"/>
    </row>
    <row r="23" spans="1:7" x14ac:dyDescent="0.5">
      <c r="A23" s="58" t="s">
        <v>105</v>
      </c>
      <c r="B23" s="59"/>
      <c r="C23" s="59"/>
      <c r="D23" s="59"/>
      <c r="E23" s="59"/>
      <c r="F23" s="60"/>
      <c r="G23" s="60"/>
    </row>
    <row r="24" spans="1:7" x14ac:dyDescent="0.5">
      <c r="A24" s="61" t="s">
        <v>79</v>
      </c>
    </row>
    <row r="34" spans="1:7" x14ac:dyDescent="0.5">
      <c r="A34" s="63" t="s">
        <v>103</v>
      </c>
      <c r="B34" s="63">
        <f>B19</f>
        <v>1150</v>
      </c>
      <c r="C34" s="65" t="s">
        <v>107</v>
      </c>
    </row>
    <row r="35" spans="1:7" x14ac:dyDescent="0.5">
      <c r="A35" s="63" t="s">
        <v>104</v>
      </c>
      <c r="B35" s="63">
        <f>B21</f>
        <v>1104.6798029556651</v>
      </c>
      <c r="C35" s="65" t="s">
        <v>108</v>
      </c>
    </row>
    <row r="36" spans="1:7" x14ac:dyDescent="0.5">
      <c r="A36" s="63"/>
      <c r="B36" s="66"/>
    </row>
    <row r="37" spans="1:7" ht="66.7" x14ac:dyDescent="0.5">
      <c r="B37" s="67" t="str">
        <f>TEXT(B34,"#,###")&amp;" rpm Impeller Flow, gpm (Known value from previous calculation)"</f>
        <v>1,150 rpm Impeller Flow, gpm (Known value from previous calculation)</v>
      </c>
      <c r="C37" s="67" t="str">
        <f>TEXT(B35,"#,###")&amp;" rpm Impeller Flow, gpm (Calculated with the affinity law)"</f>
        <v>1,105 rpm Impeller Flow, gpm (Calculated with the affinity law)</v>
      </c>
    </row>
    <row r="38" spans="1:7" x14ac:dyDescent="0.5">
      <c r="B38" s="70">
        <v>1.0000000000000001E-9</v>
      </c>
      <c r="C38" s="62">
        <f>B38*($B$35/$B$34)</f>
        <v>9.6059113300492626E-10</v>
      </c>
      <c r="D38" s="61" t="s">
        <v>83</v>
      </c>
    </row>
    <row r="39" spans="1:7" s="62" customFormat="1" x14ac:dyDescent="0.5">
      <c r="A39" s="61"/>
      <c r="B39" s="62">
        <f>'Impeller 6G 1150'!O10</f>
        <v>101.038</v>
      </c>
      <c r="C39" s="62">
        <f t="shared" ref="C39:C61" si="0">B39*($B$35/$B$34)</f>
        <v>97.056206896551728</v>
      </c>
      <c r="F39" s="61"/>
      <c r="G39" s="61"/>
    </row>
    <row r="40" spans="1:7" s="62" customFormat="1" x14ac:dyDescent="0.5">
      <c r="A40" s="61"/>
      <c r="B40" s="62">
        <f>'Impeller 6G 1150'!O11</f>
        <v>202.07599999999999</v>
      </c>
      <c r="C40" s="62">
        <f t="shared" si="0"/>
        <v>194.11241379310346</v>
      </c>
      <c r="F40" s="61"/>
      <c r="G40" s="61"/>
    </row>
    <row r="41" spans="1:7" s="62" customFormat="1" x14ac:dyDescent="0.5">
      <c r="A41" s="61"/>
      <c r="B41" s="62">
        <f>'Impeller 6G 1150'!O12</f>
        <v>301.73</v>
      </c>
      <c r="C41" s="62">
        <f t="shared" si="0"/>
        <v>289.83916256157636</v>
      </c>
      <c r="F41" s="61"/>
      <c r="G41" s="61"/>
    </row>
    <row r="42" spans="1:7" s="62" customFormat="1" x14ac:dyDescent="0.5">
      <c r="A42" s="61"/>
      <c r="B42" s="62">
        <f>'Impeller 6G 1150'!O13</f>
        <v>401.38400000000001</v>
      </c>
      <c r="C42" s="62">
        <f t="shared" si="0"/>
        <v>385.56591133004929</v>
      </c>
      <c r="F42" s="61"/>
      <c r="G42" s="61"/>
    </row>
    <row r="43" spans="1:7" s="62" customFormat="1" x14ac:dyDescent="0.5">
      <c r="A43" s="61"/>
      <c r="B43" s="62">
        <f>'Impeller 6G 1150'!O14</f>
        <v>502.42200000000003</v>
      </c>
      <c r="C43" s="62">
        <f t="shared" si="0"/>
        <v>482.62211822660106</v>
      </c>
      <c r="F43" s="61"/>
      <c r="G43" s="61"/>
    </row>
    <row r="44" spans="1:7" s="62" customFormat="1" x14ac:dyDescent="0.5">
      <c r="A44" s="61"/>
      <c r="B44" s="62">
        <f>'Impeller 6G 1150'!O15</f>
        <v>602.07600000000002</v>
      </c>
      <c r="C44" s="62">
        <f t="shared" si="0"/>
        <v>578.34886699507399</v>
      </c>
      <c r="F44" s="61"/>
      <c r="G44" s="61"/>
    </row>
    <row r="45" spans="1:7" s="62" customFormat="1" x14ac:dyDescent="0.5">
      <c r="A45" s="61"/>
      <c r="B45" s="62">
        <f>'Impeller 6G 1150'!O16</f>
        <v>703.11400000000003</v>
      </c>
      <c r="C45" s="62">
        <f t="shared" si="0"/>
        <v>675.40507389162565</v>
      </c>
      <c r="F45" s="61"/>
      <c r="G45" s="61"/>
    </row>
    <row r="46" spans="1:7" s="62" customFormat="1" x14ac:dyDescent="0.5">
      <c r="A46" s="61"/>
      <c r="B46" s="62">
        <f>'Impeller 6G 1150'!O17</f>
        <v>801.38400000000001</v>
      </c>
      <c r="C46" s="62">
        <f t="shared" si="0"/>
        <v>769.80236453201974</v>
      </c>
      <c r="F46" s="61"/>
      <c r="G46" s="61"/>
    </row>
    <row r="47" spans="1:7" s="62" customFormat="1" x14ac:dyDescent="0.5">
      <c r="A47" s="61"/>
      <c r="B47" s="62">
        <f>'Impeller 6G 1150'!O18</f>
        <v>903.80600000000004</v>
      </c>
      <c r="C47" s="62">
        <f t="shared" si="0"/>
        <v>868.18802955665035</v>
      </c>
      <c r="F47" s="61"/>
      <c r="G47" s="61"/>
    </row>
    <row r="48" spans="1:7" s="62" customFormat="1" x14ac:dyDescent="0.5">
      <c r="A48" s="61"/>
      <c r="B48" s="62">
        <f>'Impeller 6G 1150'!O19</f>
        <v>999.30799999999999</v>
      </c>
      <c r="C48" s="62">
        <f t="shared" si="0"/>
        <v>959.92640394088676</v>
      </c>
      <c r="F48" s="61"/>
      <c r="G48" s="61"/>
    </row>
    <row r="49" spans="1:7" s="62" customFormat="1" x14ac:dyDescent="0.5">
      <c r="A49" s="61"/>
      <c r="B49" s="62">
        <f>'Impeller 6G 1150'!O20</f>
        <v>1101.73</v>
      </c>
      <c r="C49" s="62">
        <f t="shared" si="0"/>
        <v>1058.3120689655173</v>
      </c>
      <c r="F49" s="61"/>
      <c r="G49" s="61"/>
    </row>
    <row r="50" spans="1:7" s="62" customFormat="1" x14ac:dyDescent="0.5">
      <c r="A50" s="61"/>
      <c r="B50" s="62">
        <f>'Impeller 6G 1150'!O21</f>
        <v>1201.3800000000001</v>
      </c>
      <c r="C50" s="62">
        <f t="shared" si="0"/>
        <v>1154.0349753694584</v>
      </c>
      <c r="F50" s="61"/>
      <c r="G50" s="61"/>
    </row>
    <row r="51" spans="1:7" s="62" customFormat="1" x14ac:dyDescent="0.5">
      <c r="A51" s="61"/>
      <c r="B51" s="62">
        <f>'Impeller 6G 1150'!O22</f>
        <v>1302.42</v>
      </c>
      <c r="C51" s="62">
        <f t="shared" si="0"/>
        <v>1251.093103448276</v>
      </c>
      <c r="F51" s="61"/>
      <c r="G51" s="61"/>
    </row>
    <row r="52" spans="1:7" s="62" customFormat="1" x14ac:dyDescent="0.5">
      <c r="A52" s="61"/>
      <c r="B52" s="62">
        <f>'Impeller 6G 1150'!O23</f>
        <v>1402.08</v>
      </c>
      <c r="C52" s="62">
        <f t="shared" si="0"/>
        <v>1346.8256157635467</v>
      </c>
      <c r="F52" s="61"/>
      <c r="G52" s="61"/>
    </row>
    <row r="53" spans="1:7" s="62" customFormat="1" x14ac:dyDescent="0.5">
      <c r="A53" s="61"/>
      <c r="B53" s="62">
        <f>'Impeller 6G 1150'!O24</f>
        <v>1501.73</v>
      </c>
      <c r="C53" s="62">
        <f t="shared" si="0"/>
        <v>1442.5485221674878</v>
      </c>
      <c r="F53" s="61"/>
      <c r="G53" s="61"/>
    </row>
    <row r="54" spans="1:7" s="62" customFormat="1" x14ac:dyDescent="0.5">
      <c r="A54" s="61"/>
      <c r="B54" s="62">
        <f>'Impeller 6G 1150'!O25</f>
        <v>1600</v>
      </c>
      <c r="C54" s="62">
        <f t="shared" si="0"/>
        <v>1536.9458128078818</v>
      </c>
      <c r="F54" s="61"/>
      <c r="G54" s="61"/>
    </row>
    <row r="55" spans="1:7" x14ac:dyDescent="0.5">
      <c r="B55" s="62">
        <f>'Impeller 6G 1150'!O26</f>
        <v>1647.06</v>
      </c>
      <c r="C55" s="62">
        <f t="shared" si="0"/>
        <v>1582.1512315270936</v>
      </c>
    </row>
    <row r="56" spans="1:7" x14ac:dyDescent="0.5">
      <c r="B56" s="62">
        <f>'Impeller 6G 1150'!O27</f>
        <v>1699.65</v>
      </c>
      <c r="C56" s="62">
        <f t="shared" si="0"/>
        <v>1632.6687192118229</v>
      </c>
    </row>
    <row r="57" spans="1:7" x14ac:dyDescent="0.5">
      <c r="B57" s="62">
        <f>'Impeller 6G 1150'!O28</f>
        <v>1791</v>
      </c>
      <c r="C57" s="62">
        <f t="shared" si="0"/>
        <v>1720.4187192118227</v>
      </c>
    </row>
    <row r="58" spans="1:7" x14ac:dyDescent="0.5">
      <c r="B58" s="62">
        <f>'Impeller 6G 1150'!O29</f>
        <v>1847.75</v>
      </c>
      <c r="C58" s="62">
        <f t="shared" si="0"/>
        <v>1774.9322660098524</v>
      </c>
    </row>
    <row r="59" spans="1:7" x14ac:dyDescent="0.5">
      <c r="B59" s="62">
        <f>'Impeller 6G 1150'!O30</f>
        <v>1903.11</v>
      </c>
      <c r="C59" s="62">
        <f t="shared" si="0"/>
        <v>1828.1105911330048</v>
      </c>
    </row>
    <row r="60" spans="1:7" x14ac:dyDescent="0.5">
      <c r="B60" s="62">
        <f>'Impeller 6G 1150'!O31</f>
        <v>1948.79</v>
      </c>
      <c r="C60" s="62">
        <f t="shared" si="0"/>
        <v>1871.99039408867</v>
      </c>
    </row>
    <row r="61" spans="1:7" x14ac:dyDescent="0.5">
      <c r="B61" s="62">
        <f>'Impeller 6G 1150'!O32</f>
        <v>2013.84</v>
      </c>
      <c r="C61" s="62">
        <f t="shared" si="0"/>
        <v>1934.4768472906403</v>
      </c>
    </row>
    <row r="62" spans="1:7" x14ac:dyDescent="0.5">
      <c r="A62" s="58" t="s">
        <v>95</v>
      </c>
      <c r="B62" s="59"/>
      <c r="C62" s="59"/>
      <c r="D62" s="59"/>
      <c r="E62" s="59"/>
      <c r="F62" s="60"/>
      <c r="G62" s="60"/>
    </row>
    <row r="63" spans="1:7" x14ac:dyDescent="0.5">
      <c r="A63" s="61" t="s">
        <v>84</v>
      </c>
    </row>
    <row r="73" spans="2:5" s="69" customFormat="1" ht="66.7" x14ac:dyDescent="0.5">
      <c r="B73" s="67" t="str">
        <f>TEXT(B34,"#,###")&amp;" rpm Impeller Flow, gpm (Known value from previous calculation)"</f>
        <v>1,150 rpm Impeller Flow, gpm (Known value from previous calculation)</v>
      </c>
      <c r="C73" s="68" t="str">
        <f>TEXT(B35,"#,##")&amp;" rpm Impeller Flow, gpm (Calculated above)"</f>
        <v>1,105 rpm Impeller Flow, gpm (Calculated above)</v>
      </c>
      <c r="D73" s="67" t="str">
        <f>TEXT(B34,"#,##")&amp;" rpm Impeller Head, ft.w.c. (Known value from previous calculation)"</f>
        <v>1,150 rpm Impeller Head, ft.w.c. (Known value from previous calculation)</v>
      </c>
      <c r="E73" s="68" t="str">
        <f>TEXT(B35,"#,###")&amp;" rpm Impeller Head, ft.w.c. (From square law)"</f>
        <v>1,105 rpm Impeller Head, ft.w.c. (From square law)</v>
      </c>
    </row>
    <row r="74" spans="2:5" x14ac:dyDescent="0.5">
      <c r="B74" s="62">
        <f>B38</f>
        <v>1.0000000000000001E-9</v>
      </c>
      <c r="C74" s="70">
        <f>C38</f>
        <v>9.6059113300492626E-10</v>
      </c>
      <c r="D74" s="62">
        <f>'Impeller 6G 1150'!P9</f>
        <v>83.528300000000002</v>
      </c>
      <c r="E74" s="70">
        <f>D74*((C74/B74)^2)</f>
        <v>77.074513031133989</v>
      </c>
    </row>
    <row r="75" spans="2:5" x14ac:dyDescent="0.5">
      <c r="B75" s="62">
        <f>B39</f>
        <v>101.038</v>
      </c>
      <c r="C75" s="70">
        <f>C39</f>
        <v>97.056206896551728</v>
      </c>
      <c r="D75" s="62">
        <f>'Impeller 6G 1150'!P10</f>
        <v>83.625699999999995</v>
      </c>
      <c r="E75" s="70">
        <f>D75*((C75/B75)^2)</f>
        <v>77.164387451770253</v>
      </c>
    </row>
    <row r="76" spans="2:5" x14ac:dyDescent="0.5">
      <c r="B76" s="62">
        <f t="shared" ref="B76:C91" si="1">B40</f>
        <v>202.07599999999999</v>
      </c>
      <c r="C76" s="70">
        <f t="shared" si="1"/>
        <v>194.11241379310346</v>
      </c>
      <c r="D76" s="62">
        <f>'Impeller 6G 1150'!P11</f>
        <v>83.528300000000002</v>
      </c>
      <c r="E76" s="70">
        <f t="shared" ref="E76:E97" si="2">D76*((C76/B76)^2)</f>
        <v>77.074513031133989</v>
      </c>
    </row>
    <row r="77" spans="2:5" x14ac:dyDescent="0.5">
      <c r="B77" s="62">
        <f t="shared" si="1"/>
        <v>301.73</v>
      </c>
      <c r="C77" s="70">
        <f t="shared" si="1"/>
        <v>289.83916256157636</v>
      </c>
      <c r="D77" s="62">
        <f>'Impeller 6G 1150'!P12</f>
        <v>83.430800000000005</v>
      </c>
      <c r="E77" s="70">
        <f t="shared" si="2"/>
        <v>76.984546336965224</v>
      </c>
    </row>
    <row r="78" spans="2:5" x14ac:dyDescent="0.5">
      <c r="B78" s="62">
        <f t="shared" si="1"/>
        <v>401.38400000000001</v>
      </c>
      <c r="C78" s="70">
        <f t="shared" si="1"/>
        <v>385.56591133004929</v>
      </c>
      <c r="D78" s="62">
        <f>'Impeller 6G 1150'!P13</f>
        <v>83.235900000000001</v>
      </c>
      <c r="E78" s="70">
        <f t="shared" si="2"/>
        <v>76.804705222160209</v>
      </c>
    </row>
    <row r="79" spans="2:5" x14ac:dyDescent="0.5">
      <c r="B79" s="62">
        <f t="shared" si="1"/>
        <v>502.42200000000003</v>
      </c>
      <c r="C79" s="70">
        <f t="shared" si="1"/>
        <v>482.62211822660106</v>
      </c>
      <c r="D79" s="62">
        <f>'Impeller 6G 1150'!P14</f>
        <v>82.846000000000004</v>
      </c>
      <c r="E79" s="70">
        <f t="shared" si="2"/>
        <v>76.444930719017705</v>
      </c>
    </row>
    <row r="80" spans="2:5" x14ac:dyDescent="0.5">
      <c r="B80" s="62">
        <f t="shared" si="1"/>
        <v>602.07600000000002</v>
      </c>
      <c r="C80" s="70">
        <f t="shared" si="1"/>
        <v>578.34886699507399</v>
      </c>
      <c r="D80" s="62">
        <f>'Impeller 6G 1150'!P15</f>
        <v>82.456100000000006</v>
      </c>
      <c r="E80" s="70">
        <f t="shared" si="2"/>
        <v>76.085156215875202</v>
      </c>
    </row>
    <row r="81" spans="2:5" x14ac:dyDescent="0.5">
      <c r="B81" s="62">
        <f t="shared" si="1"/>
        <v>703.11400000000003</v>
      </c>
      <c r="C81" s="70">
        <f t="shared" si="1"/>
        <v>675.40507389162565</v>
      </c>
      <c r="D81" s="62">
        <f>'Impeller 6G 1150'!P16</f>
        <v>82.066299999999998</v>
      </c>
      <c r="E81" s="70">
        <f t="shared" si="2"/>
        <v>75.725473986265143</v>
      </c>
    </row>
    <row r="82" spans="2:5" x14ac:dyDescent="0.5">
      <c r="B82" s="62">
        <f t="shared" si="1"/>
        <v>801.38400000000001</v>
      </c>
      <c r="C82" s="70">
        <f t="shared" si="1"/>
        <v>769.80236453201974</v>
      </c>
      <c r="D82" s="62">
        <f>'Impeller 6G 1150'!P17</f>
        <v>81.676400000000001</v>
      </c>
      <c r="E82" s="70">
        <f t="shared" si="2"/>
        <v>75.365699483122626</v>
      </c>
    </row>
    <row r="83" spans="2:5" x14ac:dyDescent="0.5">
      <c r="B83" s="62">
        <f t="shared" si="1"/>
        <v>903.80600000000004</v>
      </c>
      <c r="C83" s="70">
        <f t="shared" si="1"/>
        <v>868.18802955665035</v>
      </c>
      <c r="D83" s="62">
        <f>'Impeller 6G 1150'!P18</f>
        <v>80.994100000000003</v>
      </c>
      <c r="E83" s="70">
        <f t="shared" si="2"/>
        <v>74.736117171006342</v>
      </c>
    </row>
    <row r="84" spans="2:5" x14ac:dyDescent="0.5">
      <c r="B84" s="62">
        <f t="shared" si="1"/>
        <v>999.30799999999999</v>
      </c>
      <c r="C84" s="70">
        <f t="shared" si="1"/>
        <v>959.92640394088676</v>
      </c>
      <c r="D84" s="62">
        <f>'Impeller 6G 1150'!P19</f>
        <v>80.019499999999994</v>
      </c>
      <c r="E84" s="70">
        <f t="shared" si="2"/>
        <v>73.836819323448765</v>
      </c>
    </row>
    <row r="85" spans="2:5" x14ac:dyDescent="0.5">
      <c r="B85" s="62">
        <f t="shared" si="1"/>
        <v>1101.73</v>
      </c>
      <c r="C85" s="70">
        <f t="shared" si="1"/>
        <v>1058.3120689655173</v>
      </c>
      <c r="D85" s="62">
        <f>'Impeller 6G 1150'!P20</f>
        <v>78.3626</v>
      </c>
      <c r="E85" s="70">
        <f t="shared" si="2"/>
        <v>72.307939163774904</v>
      </c>
    </row>
    <row r="86" spans="2:5" x14ac:dyDescent="0.5">
      <c r="B86" s="62">
        <f t="shared" si="1"/>
        <v>1201.3800000000001</v>
      </c>
      <c r="C86" s="70">
        <f t="shared" si="1"/>
        <v>1154.0349753694584</v>
      </c>
      <c r="D86" s="62">
        <f>'Impeller 6G 1150'!P21</f>
        <v>76.413300000000007</v>
      </c>
      <c r="E86" s="70">
        <f t="shared" si="2"/>
        <v>70.509251195127305</v>
      </c>
    </row>
    <row r="87" spans="2:5" x14ac:dyDescent="0.5">
      <c r="B87" s="62">
        <f t="shared" si="1"/>
        <v>1302.42</v>
      </c>
      <c r="C87" s="70">
        <f t="shared" si="1"/>
        <v>1251.093103448276</v>
      </c>
      <c r="D87" s="62">
        <f>'Impeller 6G 1150'!P22</f>
        <v>74.074100000000001</v>
      </c>
      <c r="E87" s="70">
        <f t="shared" si="2"/>
        <v>68.350788723337146</v>
      </c>
    </row>
    <row r="88" spans="2:5" x14ac:dyDescent="0.5">
      <c r="B88" s="62">
        <f t="shared" si="1"/>
        <v>1402.08</v>
      </c>
      <c r="C88" s="70">
        <f t="shared" si="1"/>
        <v>1346.8256157635467</v>
      </c>
      <c r="D88" s="62">
        <f>'Impeller 6G 1150'!P23</f>
        <v>71.540000000000006</v>
      </c>
      <c r="E88" s="70">
        <f t="shared" si="2"/>
        <v>66.012485136741972</v>
      </c>
    </row>
    <row r="89" spans="2:5" x14ac:dyDescent="0.5">
      <c r="B89" s="62">
        <f t="shared" si="1"/>
        <v>1501.73</v>
      </c>
      <c r="C89" s="70">
        <f t="shared" si="1"/>
        <v>1442.5485221674878</v>
      </c>
      <c r="D89" s="62">
        <f>'Impeller 6G 1150'!P24</f>
        <v>68.518500000000003</v>
      </c>
      <c r="E89" s="70">
        <f t="shared" si="2"/>
        <v>63.224440352835551</v>
      </c>
    </row>
    <row r="90" spans="2:5" x14ac:dyDescent="0.5">
      <c r="B90" s="62">
        <f t="shared" si="1"/>
        <v>1600</v>
      </c>
      <c r="C90" s="70">
        <f t="shared" si="1"/>
        <v>1536.9458128078818</v>
      </c>
      <c r="D90" s="62">
        <f>'Impeller 6G 1150'!P25</f>
        <v>64.619900000000001</v>
      </c>
      <c r="E90" s="70">
        <f t="shared" si="2"/>
        <v>59.627064415540303</v>
      </c>
    </row>
    <row r="91" spans="2:5" x14ac:dyDescent="0.5">
      <c r="B91" s="62">
        <f t="shared" si="1"/>
        <v>1647.06</v>
      </c>
      <c r="C91" s="70">
        <f t="shared" si="1"/>
        <v>1582.1512315270936</v>
      </c>
      <c r="D91" s="62">
        <f>'Impeller 6G 1150'!P26</f>
        <v>62.4756</v>
      </c>
      <c r="E91" s="70">
        <f t="shared" si="2"/>
        <v>57.648443058555173</v>
      </c>
    </row>
    <row r="92" spans="2:5" x14ac:dyDescent="0.5">
      <c r="B92" s="62">
        <f t="shared" ref="B92:C97" si="3">B56</f>
        <v>1699.65</v>
      </c>
      <c r="C92" s="70">
        <f t="shared" si="3"/>
        <v>1632.6687192118229</v>
      </c>
      <c r="D92" s="62">
        <f>'Impeller 6G 1150'!P27</f>
        <v>60.039000000000001</v>
      </c>
      <c r="E92" s="70">
        <f t="shared" si="2"/>
        <v>55.400106166128765</v>
      </c>
    </row>
    <row r="93" spans="2:5" x14ac:dyDescent="0.5">
      <c r="B93" s="62">
        <f t="shared" si="3"/>
        <v>1791</v>
      </c>
      <c r="C93" s="70">
        <f t="shared" si="3"/>
        <v>1720.4187192118227</v>
      </c>
      <c r="D93" s="62">
        <f>'Impeller 6G 1150'!P28</f>
        <v>55.165700000000001</v>
      </c>
      <c r="E93" s="70">
        <f t="shared" si="2"/>
        <v>50.90334010774346</v>
      </c>
    </row>
    <row r="94" spans="2:5" x14ac:dyDescent="0.5">
      <c r="B94" s="62">
        <f t="shared" si="3"/>
        <v>1847.75</v>
      </c>
      <c r="C94" s="70">
        <f t="shared" si="3"/>
        <v>1774.9322660098524</v>
      </c>
      <c r="D94" s="62">
        <f>'Impeller 6G 1150'!P29</f>
        <v>51.3645</v>
      </c>
      <c r="E94" s="70">
        <f t="shared" si="2"/>
        <v>47.395838591084477</v>
      </c>
    </row>
    <row r="95" spans="2:5" x14ac:dyDescent="0.5">
      <c r="B95" s="62">
        <f t="shared" si="3"/>
        <v>1903.11</v>
      </c>
      <c r="C95" s="70">
        <f t="shared" si="3"/>
        <v>1828.1105911330048</v>
      </c>
      <c r="D95" s="62">
        <f>'Impeller 6G 1150'!P30</f>
        <v>47.368400000000001</v>
      </c>
      <c r="E95" s="70">
        <f t="shared" si="2"/>
        <v>43.708495959620478</v>
      </c>
    </row>
    <row r="96" spans="2:5" x14ac:dyDescent="0.5">
      <c r="B96" s="62">
        <f t="shared" si="3"/>
        <v>1948.79</v>
      </c>
      <c r="C96" s="70">
        <f t="shared" si="3"/>
        <v>1871.99039408867</v>
      </c>
      <c r="D96" s="62">
        <f>'Impeller 6G 1150'!P31</f>
        <v>43.8596</v>
      </c>
      <c r="E96" s="70">
        <f t="shared" si="2"/>
        <v>40.470802251935261</v>
      </c>
    </row>
    <row r="97" spans="1:7" x14ac:dyDescent="0.5">
      <c r="B97" s="62">
        <f t="shared" si="3"/>
        <v>2013.84</v>
      </c>
      <c r="C97" s="70">
        <f t="shared" si="3"/>
        <v>1934.4768472906403</v>
      </c>
      <c r="D97" s="62">
        <f>'Impeller 6G 1150'!P32</f>
        <v>38.401600000000002</v>
      </c>
      <c r="E97" s="70">
        <f t="shared" si="2"/>
        <v>35.434512849134904</v>
      </c>
    </row>
    <row r="98" spans="1:7" x14ac:dyDescent="0.5">
      <c r="A98" s="58" t="s">
        <v>96</v>
      </c>
      <c r="B98" s="59"/>
      <c r="C98" s="59"/>
      <c r="D98" s="59"/>
      <c r="E98" s="59"/>
      <c r="F98" s="60"/>
      <c r="G98" s="60"/>
    </row>
  </sheetData>
  <pageMargins left="0.7" right="0.7" top="0.75" bottom="0.75" header="0.3" footer="0.3"/>
  <drawing r:id="rId1"/>
  <legacyDrawing r:id="rId2"/>
  <oleObjects>
    <mc:AlternateContent xmlns:mc="http://schemas.openxmlformats.org/markup-compatibility/2006">
      <mc:Choice Requires="x14">
        <oleObject progId="Equation.DSMT4" shapeId="47105" r:id="rId3">
          <objectPr defaultSize="0" autoPict="0" r:id="rId4">
            <anchor moveWithCells="1">
              <from>
                <xdr:col>0</xdr:col>
                <xdr:colOff>0</xdr:colOff>
                <xdr:row>63</xdr:row>
                <xdr:rowOff>160867</xdr:rowOff>
              </from>
              <to>
                <xdr:col>2</xdr:col>
                <xdr:colOff>1134533</xdr:colOff>
                <xdr:row>71</xdr:row>
                <xdr:rowOff>122767</xdr:rowOff>
              </to>
            </anchor>
          </objectPr>
        </oleObject>
      </mc:Choice>
      <mc:Fallback>
        <oleObject progId="Equation.DSMT4" shapeId="47105" r:id="rId3"/>
      </mc:Fallback>
    </mc:AlternateContent>
    <mc:AlternateContent xmlns:mc="http://schemas.openxmlformats.org/markup-compatibility/2006">
      <mc:Choice Requires="x14">
        <oleObject progId="Equation.DSMT4" shapeId="47106" r:id="rId5">
          <objectPr defaultSize="0" autoPict="0" r:id="rId6">
            <anchor moveWithCells="1">
              <from>
                <xdr:col>0</xdr:col>
                <xdr:colOff>0</xdr:colOff>
                <xdr:row>2</xdr:row>
                <xdr:rowOff>0</xdr:rowOff>
              </from>
              <to>
                <xdr:col>3</xdr:col>
                <xdr:colOff>1087967</xdr:colOff>
                <xdr:row>15</xdr:row>
                <xdr:rowOff>8467</xdr:rowOff>
              </to>
            </anchor>
          </objectPr>
        </oleObject>
      </mc:Choice>
      <mc:Fallback>
        <oleObject progId="Equation.DSMT4" shapeId="47106" r:id="rId5"/>
      </mc:Fallback>
    </mc:AlternateContent>
    <mc:AlternateContent xmlns:mc="http://schemas.openxmlformats.org/markup-compatibility/2006">
      <mc:Choice Requires="x14">
        <oleObject progId="Equation.DSMT4" shapeId="47107" r:id="rId7">
          <objectPr defaultSize="0" autoPict="0" r:id="rId8">
            <anchor moveWithCells="1">
              <from>
                <xdr:col>0</xdr:col>
                <xdr:colOff>0</xdr:colOff>
                <xdr:row>24</xdr:row>
                <xdr:rowOff>0</xdr:rowOff>
              </from>
              <to>
                <xdr:col>3</xdr:col>
                <xdr:colOff>1066800</xdr:colOff>
                <xdr:row>32</xdr:row>
                <xdr:rowOff>67733</xdr:rowOff>
              </to>
            </anchor>
          </objectPr>
        </oleObject>
      </mc:Choice>
      <mc:Fallback>
        <oleObject progId="Equation.DSMT4" shapeId="47107"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98"/>
  <sheetViews>
    <sheetView topLeftCell="A10" workbookViewId="0">
      <selection activeCell="C18" sqref="C18"/>
    </sheetView>
  </sheetViews>
  <sheetFormatPr defaultColWidth="9.1171875" defaultRowHeight="16.7" x14ac:dyDescent="0.5"/>
  <cols>
    <col min="1" max="1" width="33.1171875" style="61" customWidth="1"/>
    <col min="2" max="5" width="20.29296875" style="62" customWidth="1"/>
    <col min="6" max="16384" width="9.1171875" style="61"/>
  </cols>
  <sheetData>
    <row r="1" spans="1:7" x14ac:dyDescent="0.5">
      <c r="A1" s="58" t="s">
        <v>102</v>
      </c>
      <c r="B1" s="59"/>
      <c r="C1" s="59"/>
      <c r="D1" s="59"/>
      <c r="E1" s="59"/>
      <c r="F1" s="60"/>
      <c r="G1" s="60"/>
    </row>
    <row r="2" spans="1:7" x14ac:dyDescent="0.5">
      <c r="A2" s="61" t="s">
        <v>86</v>
      </c>
    </row>
    <row r="17" spans="1:7" x14ac:dyDescent="0.5">
      <c r="A17" s="63" t="s">
        <v>87</v>
      </c>
      <c r="B17" s="91">
        <f>'75 Pct'!C10</f>
        <v>975</v>
      </c>
      <c r="C17" s="90" t="s">
        <v>126</v>
      </c>
    </row>
    <row r="18" spans="1:7" x14ac:dyDescent="0.5">
      <c r="A18" s="63" t="s">
        <v>88</v>
      </c>
      <c r="B18" s="63">
        <f>'75 Pct'!C51</f>
        <v>1015</v>
      </c>
      <c r="C18" s="236" t="s">
        <v>203</v>
      </c>
    </row>
    <row r="19" spans="1:7" x14ac:dyDescent="0.5">
      <c r="A19" s="63" t="s">
        <v>103</v>
      </c>
      <c r="B19" s="89">
        <v>1150</v>
      </c>
      <c r="C19" s="90" t="s">
        <v>122</v>
      </c>
    </row>
    <row r="20" spans="1:7" x14ac:dyDescent="0.5">
      <c r="A20" s="63" t="s">
        <v>110</v>
      </c>
      <c r="B20" s="89">
        <v>-24</v>
      </c>
      <c r="C20" s="90" t="s">
        <v>121</v>
      </c>
    </row>
    <row r="21" spans="1:7" x14ac:dyDescent="0.5">
      <c r="A21" s="63" t="s">
        <v>104</v>
      </c>
      <c r="B21" s="63">
        <f>((B17/B18)*B19)+B20</f>
        <v>1080.6798029556651</v>
      </c>
      <c r="C21" s="65" t="s">
        <v>109</v>
      </c>
    </row>
    <row r="22" spans="1:7" x14ac:dyDescent="0.5">
      <c r="A22" s="93" t="s">
        <v>136</v>
      </c>
      <c r="B22" s="65" t="str">
        <f>TEXT('Design Impeller from Largest'!B15,"##.000")&amp;" inch impeller at "&amp;TEXT('75 Pct Speed Estimate Tweak'!B21,"#,###")&amp;" rpm from the affinity law, adjusted to go through the operating point"</f>
        <v>13.195 inch impeller at 1,081 rpm from the affinity law, adjusted to go through the operating point</v>
      </c>
      <c r="C22" s="65"/>
    </row>
    <row r="23" spans="1:7" x14ac:dyDescent="0.5">
      <c r="A23" s="58" t="s">
        <v>105</v>
      </c>
      <c r="B23" s="59"/>
      <c r="C23" s="59"/>
      <c r="D23" s="59"/>
      <c r="E23" s="59"/>
      <c r="F23" s="60"/>
      <c r="G23" s="60"/>
    </row>
    <row r="24" spans="1:7" x14ac:dyDescent="0.5">
      <c r="A24" s="61" t="s">
        <v>79</v>
      </c>
    </row>
    <row r="34" spans="1:7" x14ac:dyDescent="0.5">
      <c r="A34" s="63" t="s">
        <v>103</v>
      </c>
      <c r="B34" s="63">
        <f>B19</f>
        <v>1150</v>
      </c>
      <c r="C34" s="65" t="s">
        <v>107</v>
      </c>
    </row>
    <row r="35" spans="1:7" x14ac:dyDescent="0.5">
      <c r="A35" s="63" t="s">
        <v>104</v>
      </c>
      <c r="B35" s="63">
        <f>B21</f>
        <v>1080.6798029556651</v>
      </c>
      <c r="C35" s="65" t="s">
        <v>108</v>
      </c>
    </row>
    <row r="36" spans="1:7" x14ac:dyDescent="0.5">
      <c r="A36" s="63"/>
      <c r="B36" s="66"/>
    </row>
    <row r="37" spans="1:7" ht="66.7" x14ac:dyDescent="0.5">
      <c r="B37" s="67" t="str">
        <f>TEXT(B34,"#,###")&amp;" rpm Impeller Flow, gpm (Known value from previous calculation)"</f>
        <v>1,150 rpm Impeller Flow, gpm (Known value from previous calculation)</v>
      </c>
      <c r="C37" s="67" t="str">
        <f>TEXT(B35,"#,###")&amp;" rpm Impeller Flow, gpm (Calculated with the affinity law)"</f>
        <v>1,081 rpm Impeller Flow, gpm (Calculated with the affinity law)</v>
      </c>
    </row>
    <row r="38" spans="1:7" x14ac:dyDescent="0.5">
      <c r="B38" s="70">
        <v>1.0000000000000001E-9</v>
      </c>
      <c r="C38" s="62">
        <f>B38*($B$35/$B$34)</f>
        <v>9.3972156778753495E-10</v>
      </c>
      <c r="D38" s="61" t="s">
        <v>83</v>
      </c>
    </row>
    <row r="39" spans="1:7" s="62" customFormat="1" x14ac:dyDescent="0.5">
      <c r="A39" s="61"/>
      <c r="B39" s="62">
        <f>'Impeller 6G 1150'!O10</f>
        <v>101.038</v>
      </c>
      <c r="C39" s="62">
        <f t="shared" ref="C39:C61" si="0">B39*($B$35/$B$34)</f>
        <v>94.947587766116953</v>
      </c>
      <c r="F39" s="61"/>
      <c r="G39" s="61"/>
    </row>
    <row r="40" spans="1:7" s="62" customFormat="1" x14ac:dyDescent="0.5">
      <c r="A40" s="61"/>
      <c r="B40" s="62">
        <f>'Impeller 6G 1150'!O11</f>
        <v>202.07599999999999</v>
      </c>
      <c r="C40" s="62">
        <f t="shared" si="0"/>
        <v>189.89517553223391</v>
      </c>
      <c r="F40" s="61"/>
      <c r="G40" s="61"/>
    </row>
    <row r="41" spans="1:7" s="62" customFormat="1" x14ac:dyDescent="0.5">
      <c r="A41" s="61"/>
      <c r="B41" s="62">
        <f>'Impeller 6G 1150'!O12</f>
        <v>301.73</v>
      </c>
      <c r="C41" s="62">
        <f t="shared" si="0"/>
        <v>283.54218864853294</v>
      </c>
      <c r="F41" s="61"/>
      <c r="G41" s="61"/>
    </row>
    <row r="42" spans="1:7" s="62" customFormat="1" x14ac:dyDescent="0.5">
      <c r="A42" s="61"/>
      <c r="B42" s="62">
        <f>'Impeller 6G 1150'!O13</f>
        <v>401.38400000000001</v>
      </c>
      <c r="C42" s="62">
        <f t="shared" si="0"/>
        <v>377.18920176483192</v>
      </c>
      <c r="F42" s="61"/>
      <c r="G42" s="61"/>
    </row>
    <row r="43" spans="1:7" s="62" customFormat="1" x14ac:dyDescent="0.5">
      <c r="A43" s="61"/>
      <c r="B43" s="62">
        <f>'Impeller 6G 1150'!O14</f>
        <v>502.42200000000003</v>
      </c>
      <c r="C43" s="62">
        <f t="shared" si="0"/>
        <v>472.13678953094887</v>
      </c>
      <c r="F43" s="61"/>
      <c r="G43" s="61"/>
    </row>
    <row r="44" spans="1:7" s="62" customFormat="1" x14ac:dyDescent="0.5">
      <c r="A44" s="61"/>
      <c r="B44" s="62">
        <f>'Impeller 6G 1150'!O15</f>
        <v>602.07600000000002</v>
      </c>
      <c r="C44" s="62">
        <f t="shared" si="0"/>
        <v>565.78380264724785</v>
      </c>
      <c r="F44" s="61"/>
      <c r="G44" s="61"/>
    </row>
    <row r="45" spans="1:7" s="62" customFormat="1" x14ac:dyDescent="0.5">
      <c r="A45" s="61"/>
      <c r="B45" s="62">
        <f>'Impeller 6G 1150'!O16</f>
        <v>703.11400000000003</v>
      </c>
      <c r="C45" s="62">
        <f t="shared" si="0"/>
        <v>660.73139041336481</v>
      </c>
      <c r="F45" s="61"/>
      <c r="G45" s="61"/>
    </row>
    <row r="46" spans="1:7" s="62" customFormat="1" x14ac:dyDescent="0.5">
      <c r="A46" s="61"/>
      <c r="B46" s="62">
        <f>'Impeller 6G 1150'!O17</f>
        <v>801.38400000000001</v>
      </c>
      <c r="C46" s="62">
        <f t="shared" si="0"/>
        <v>753.07782887984592</v>
      </c>
      <c r="F46" s="61"/>
      <c r="G46" s="61"/>
    </row>
    <row r="47" spans="1:7" s="62" customFormat="1" x14ac:dyDescent="0.5">
      <c r="A47" s="61"/>
      <c r="B47" s="62">
        <f>'Impeller 6G 1150'!O18</f>
        <v>903.80600000000004</v>
      </c>
      <c r="C47" s="62">
        <f t="shared" si="0"/>
        <v>849.3259912957808</v>
      </c>
      <c r="F47" s="61"/>
      <c r="G47" s="61"/>
    </row>
    <row r="48" spans="1:7" s="62" customFormat="1" x14ac:dyDescent="0.5">
      <c r="A48" s="61"/>
      <c r="B48" s="62">
        <f>'Impeller 6G 1150'!O19</f>
        <v>999.30799999999999</v>
      </c>
      <c r="C48" s="62">
        <f t="shared" si="0"/>
        <v>939.07128046262596</v>
      </c>
      <c r="F48" s="61"/>
      <c r="G48" s="61"/>
    </row>
    <row r="49" spans="1:7" s="62" customFormat="1" x14ac:dyDescent="0.5">
      <c r="A49" s="61"/>
      <c r="B49" s="62">
        <f>'Impeller 6G 1150'!O20</f>
        <v>1101.73</v>
      </c>
      <c r="C49" s="62">
        <f t="shared" si="0"/>
        <v>1035.3194428785609</v>
      </c>
      <c r="F49" s="61"/>
      <c r="G49" s="61"/>
    </row>
    <row r="50" spans="1:7" s="62" customFormat="1" x14ac:dyDescent="0.5">
      <c r="A50" s="61"/>
      <c r="B50" s="62">
        <f>'Impeller 6G 1150'!O21</f>
        <v>1201.3800000000001</v>
      </c>
      <c r="C50" s="62">
        <f t="shared" si="0"/>
        <v>1128.9626971085888</v>
      </c>
      <c r="F50" s="61"/>
      <c r="G50" s="61"/>
    </row>
    <row r="51" spans="1:7" s="62" customFormat="1" x14ac:dyDescent="0.5">
      <c r="A51" s="61"/>
      <c r="B51" s="62">
        <f>'Impeller 6G 1150'!O22</f>
        <v>1302.42</v>
      </c>
      <c r="C51" s="62">
        <f t="shared" si="0"/>
        <v>1223.9121643178412</v>
      </c>
      <c r="F51" s="61"/>
      <c r="G51" s="61"/>
    </row>
    <row r="52" spans="1:7" s="62" customFormat="1" x14ac:dyDescent="0.5">
      <c r="A52" s="61"/>
      <c r="B52" s="62">
        <f>'Impeller 6G 1150'!O23</f>
        <v>1402.08</v>
      </c>
      <c r="C52" s="62">
        <f t="shared" si="0"/>
        <v>1317.5648157635469</v>
      </c>
      <c r="F52" s="61"/>
      <c r="G52" s="61"/>
    </row>
    <row r="53" spans="1:7" s="62" customFormat="1" x14ac:dyDescent="0.5">
      <c r="A53" s="61"/>
      <c r="B53" s="62">
        <f>'Impeller 6G 1150'!O24</f>
        <v>1501.73</v>
      </c>
      <c r="C53" s="62">
        <f t="shared" si="0"/>
        <v>1411.2080699935748</v>
      </c>
      <c r="F53" s="61"/>
      <c r="G53" s="61"/>
    </row>
    <row r="54" spans="1:7" s="62" customFormat="1" x14ac:dyDescent="0.5">
      <c r="A54" s="61"/>
      <c r="B54" s="62">
        <f>'Impeller 6G 1150'!O25</f>
        <v>1600</v>
      </c>
      <c r="C54" s="62">
        <f t="shared" si="0"/>
        <v>1503.5545084600558</v>
      </c>
      <c r="F54" s="61"/>
      <c r="G54" s="61"/>
    </row>
    <row r="55" spans="1:7" x14ac:dyDescent="0.5">
      <c r="B55" s="62">
        <f>'Impeller 6G 1150'!O26</f>
        <v>1647.06</v>
      </c>
      <c r="C55" s="62">
        <f t="shared" si="0"/>
        <v>1547.7778054401372</v>
      </c>
    </row>
    <row r="56" spans="1:7" x14ac:dyDescent="0.5">
      <c r="B56" s="62">
        <f>'Impeller 6G 1150'!O27</f>
        <v>1699.65</v>
      </c>
      <c r="C56" s="62">
        <f t="shared" si="0"/>
        <v>1597.1977626900839</v>
      </c>
    </row>
    <row r="57" spans="1:7" x14ac:dyDescent="0.5">
      <c r="B57" s="62">
        <f>'Impeller 6G 1150'!O28</f>
        <v>1791</v>
      </c>
      <c r="C57" s="62">
        <f t="shared" si="0"/>
        <v>1683.0413279074751</v>
      </c>
    </row>
    <row r="58" spans="1:7" x14ac:dyDescent="0.5">
      <c r="B58" s="62">
        <f>'Impeller 6G 1150'!O29</f>
        <v>1847.75</v>
      </c>
      <c r="C58" s="62">
        <f t="shared" si="0"/>
        <v>1736.3705268794176</v>
      </c>
    </row>
    <row r="59" spans="1:7" x14ac:dyDescent="0.5">
      <c r="B59" s="62">
        <f>'Impeller 6G 1150'!O30</f>
        <v>1903.11</v>
      </c>
      <c r="C59" s="62">
        <f t="shared" si="0"/>
        <v>1788.3935128721355</v>
      </c>
    </row>
    <row r="60" spans="1:7" x14ac:dyDescent="0.5">
      <c r="B60" s="62">
        <f>'Impeller 6G 1150'!O31</f>
        <v>1948.79</v>
      </c>
      <c r="C60" s="62">
        <f t="shared" si="0"/>
        <v>1831.3199940886702</v>
      </c>
    </row>
    <row r="61" spans="1:7" x14ac:dyDescent="0.5">
      <c r="B61" s="62">
        <f>'Impeller 6G 1150'!O32</f>
        <v>2013.84</v>
      </c>
      <c r="C61" s="62">
        <f t="shared" si="0"/>
        <v>1892.4488820732493</v>
      </c>
    </row>
    <row r="62" spans="1:7" x14ac:dyDescent="0.5">
      <c r="A62" s="58" t="s">
        <v>95</v>
      </c>
      <c r="B62" s="59"/>
      <c r="C62" s="59"/>
      <c r="D62" s="59"/>
      <c r="E62" s="59"/>
      <c r="F62" s="60"/>
      <c r="G62" s="60"/>
    </row>
    <row r="63" spans="1:7" x14ac:dyDescent="0.5">
      <c r="A63" s="61" t="s">
        <v>84</v>
      </c>
    </row>
    <row r="73" spans="2:5" s="69" customFormat="1" ht="66.7" x14ac:dyDescent="0.5">
      <c r="B73" s="67" t="str">
        <f>TEXT(B34,"#,###")&amp;" rpm Impeller Flow, gpm (Known value from previous calculation)"</f>
        <v>1,150 rpm Impeller Flow, gpm (Known value from previous calculation)</v>
      </c>
      <c r="C73" s="68" t="str">
        <f>TEXT(B35,"#,##")&amp;" rpm Impeller Flow, gpm (Calculated above)"</f>
        <v>1,081 rpm Impeller Flow, gpm (Calculated above)</v>
      </c>
      <c r="D73" s="67" t="str">
        <f>TEXT(B34,"#,##")&amp;" rpm Impeller Head, ft.w.c. (Known value from previous calculation)"</f>
        <v>1,150 rpm Impeller Head, ft.w.c. (Known value from previous calculation)</v>
      </c>
      <c r="E73" s="68" t="str">
        <f>TEXT(B35,"#,###")&amp;" rpm Impeller Head, ft.w.c. (From square law)"</f>
        <v>1,081 rpm Impeller Head, ft.w.c. (From square law)</v>
      </c>
    </row>
    <row r="74" spans="2:5" x14ac:dyDescent="0.5">
      <c r="B74" s="62">
        <f>B38</f>
        <v>1.0000000000000001E-9</v>
      </c>
      <c r="C74" s="70">
        <f>C38</f>
        <v>9.3972156778753495E-10</v>
      </c>
      <c r="D74" s="62">
        <f>'Impeller 6G 1150'!P9</f>
        <v>83.528300000000002</v>
      </c>
      <c r="E74" s="70">
        <f>D74*((C74/B74)^2)</f>
        <v>73.761889253069242</v>
      </c>
    </row>
    <row r="75" spans="2:5" x14ac:dyDescent="0.5">
      <c r="B75" s="62">
        <f>B39</f>
        <v>101.038</v>
      </c>
      <c r="C75" s="70">
        <f>C39</f>
        <v>94.947587766116953</v>
      </c>
      <c r="D75" s="62">
        <f>'Impeller 6G 1150'!P10</f>
        <v>83.625699999999995</v>
      </c>
      <c r="E75" s="70">
        <f>D75*((C75/B75)^2)</f>
        <v>73.847900916340834</v>
      </c>
    </row>
    <row r="76" spans="2:5" x14ac:dyDescent="0.5">
      <c r="B76" s="62">
        <f t="shared" ref="B76:C91" si="1">B40</f>
        <v>202.07599999999999</v>
      </c>
      <c r="C76" s="70">
        <f t="shared" si="1"/>
        <v>189.89517553223391</v>
      </c>
      <c r="D76" s="62">
        <f>'Impeller 6G 1150'!P11</f>
        <v>83.528300000000002</v>
      </c>
      <c r="E76" s="70">
        <f t="shared" ref="E76:E97" si="2">D76*((C76/B76)^2)</f>
        <v>73.761889253069242</v>
      </c>
    </row>
    <row r="77" spans="2:5" x14ac:dyDescent="0.5">
      <c r="B77" s="62">
        <f t="shared" si="1"/>
        <v>301.73</v>
      </c>
      <c r="C77" s="70">
        <f t="shared" si="1"/>
        <v>283.54218864853294</v>
      </c>
      <c r="D77" s="62">
        <f>'Impeller 6G 1150'!P12</f>
        <v>83.430800000000005</v>
      </c>
      <c r="E77" s="70">
        <f t="shared" si="2"/>
        <v>73.67578928213517</v>
      </c>
    </row>
    <row r="78" spans="2:5" x14ac:dyDescent="0.5">
      <c r="B78" s="62">
        <f t="shared" si="1"/>
        <v>401.38400000000001</v>
      </c>
      <c r="C78" s="70">
        <f t="shared" si="1"/>
        <v>377.18920176483192</v>
      </c>
      <c r="D78" s="62">
        <f>'Impeller 6G 1150'!P13</f>
        <v>83.235900000000001</v>
      </c>
      <c r="E78" s="70">
        <f t="shared" si="2"/>
        <v>73.50367764792945</v>
      </c>
    </row>
    <row r="79" spans="2:5" x14ac:dyDescent="0.5">
      <c r="B79" s="62">
        <f t="shared" si="1"/>
        <v>502.42200000000003</v>
      </c>
      <c r="C79" s="70">
        <f t="shared" si="1"/>
        <v>472.13678953094887</v>
      </c>
      <c r="D79" s="62">
        <f>'Impeller 6G 1150'!P14</f>
        <v>82.846000000000004</v>
      </c>
      <c r="E79" s="70">
        <f t="shared" si="2"/>
        <v>73.159366071855572</v>
      </c>
    </row>
    <row r="80" spans="2:5" x14ac:dyDescent="0.5">
      <c r="B80" s="62">
        <f t="shared" si="1"/>
        <v>602.07600000000002</v>
      </c>
      <c r="C80" s="70">
        <f t="shared" si="1"/>
        <v>565.78380264724785</v>
      </c>
      <c r="D80" s="62">
        <f>'Impeller 6G 1150'!P15</f>
        <v>82.456100000000006</v>
      </c>
      <c r="E80" s="70">
        <f t="shared" si="2"/>
        <v>72.815054495781695</v>
      </c>
    </row>
    <row r="81" spans="2:5" x14ac:dyDescent="0.5">
      <c r="B81" s="62">
        <f t="shared" si="1"/>
        <v>703.11400000000003</v>
      </c>
      <c r="C81" s="70">
        <f t="shared" si="1"/>
        <v>660.73139041336481</v>
      </c>
      <c r="D81" s="62">
        <f>'Impeller 6G 1150'!P16</f>
        <v>82.066299999999998</v>
      </c>
      <c r="E81" s="70">
        <f t="shared" si="2"/>
        <v>72.470831227370297</v>
      </c>
    </row>
    <row r="82" spans="2:5" x14ac:dyDescent="0.5">
      <c r="B82" s="62">
        <f t="shared" si="1"/>
        <v>801.38400000000001</v>
      </c>
      <c r="C82" s="70">
        <f t="shared" si="1"/>
        <v>753.07782887984592</v>
      </c>
      <c r="D82" s="62">
        <f>'Impeller 6G 1150'!P17</f>
        <v>81.676400000000001</v>
      </c>
      <c r="E82" s="70">
        <f t="shared" si="2"/>
        <v>72.126519651296434</v>
      </c>
    </row>
    <row r="83" spans="2:5" x14ac:dyDescent="0.5">
      <c r="B83" s="62">
        <f t="shared" si="1"/>
        <v>903.80600000000004</v>
      </c>
      <c r="C83" s="70">
        <f t="shared" si="1"/>
        <v>849.3259912957808</v>
      </c>
      <c r="D83" s="62">
        <f>'Impeller 6G 1150'!P18</f>
        <v>80.994100000000003</v>
      </c>
      <c r="E83" s="70">
        <f t="shared" si="2"/>
        <v>71.523996470082778</v>
      </c>
    </row>
    <row r="84" spans="2:5" x14ac:dyDescent="0.5">
      <c r="B84" s="62">
        <f t="shared" si="1"/>
        <v>999.30799999999999</v>
      </c>
      <c r="C84" s="70">
        <f t="shared" si="1"/>
        <v>939.07128046262596</v>
      </c>
      <c r="D84" s="62">
        <f>'Impeller 6G 1150'!P19</f>
        <v>80.019499999999994</v>
      </c>
      <c r="E84" s="70">
        <f t="shared" si="2"/>
        <v>70.663349991391811</v>
      </c>
    </row>
    <row r="85" spans="2:5" x14ac:dyDescent="0.5">
      <c r="B85" s="62">
        <f t="shared" si="1"/>
        <v>1101.73</v>
      </c>
      <c r="C85" s="70">
        <f t="shared" si="1"/>
        <v>1035.3194428785609</v>
      </c>
      <c r="D85" s="62">
        <f>'Impeller 6G 1150'!P20</f>
        <v>78.3626</v>
      </c>
      <c r="E85" s="70">
        <f t="shared" si="2"/>
        <v>69.200180331487232</v>
      </c>
    </row>
    <row r="86" spans="2:5" x14ac:dyDescent="0.5">
      <c r="B86" s="62">
        <f t="shared" si="1"/>
        <v>1201.3800000000001</v>
      </c>
      <c r="C86" s="70">
        <f t="shared" si="1"/>
        <v>1128.9626971085888</v>
      </c>
      <c r="D86" s="62">
        <f>'Impeller 6G 1150'!P21</f>
        <v>76.413300000000007</v>
      </c>
      <c r="E86" s="70">
        <f t="shared" si="2"/>
        <v>67.478799066442818</v>
      </c>
    </row>
    <row r="87" spans="2:5" x14ac:dyDescent="0.5">
      <c r="B87" s="62">
        <f t="shared" si="1"/>
        <v>1302.42</v>
      </c>
      <c r="C87" s="70">
        <f t="shared" si="1"/>
        <v>1223.9121643178412</v>
      </c>
      <c r="D87" s="62">
        <f>'Impeller 6G 1150'!P22</f>
        <v>74.074100000000001</v>
      </c>
      <c r="E87" s="70">
        <f t="shared" si="2"/>
        <v>65.413106225324526</v>
      </c>
    </row>
    <row r="88" spans="2:5" x14ac:dyDescent="0.5">
      <c r="B88" s="62">
        <f t="shared" si="1"/>
        <v>1402.08</v>
      </c>
      <c r="C88" s="70">
        <f t="shared" si="1"/>
        <v>1317.5648157635469</v>
      </c>
      <c r="D88" s="62">
        <f>'Impeller 6G 1150'!P23</f>
        <v>71.540000000000006</v>
      </c>
      <c r="E88" s="70">
        <f t="shared" si="2"/>
        <v>63.175301750000578</v>
      </c>
    </row>
    <row r="89" spans="2:5" x14ac:dyDescent="0.5">
      <c r="B89" s="62">
        <f t="shared" si="1"/>
        <v>1501.73</v>
      </c>
      <c r="C89" s="70">
        <f t="shared" si="1"/>
        <v>1411.2080699935748</v>
      </c>
      <c r="D89" s="62">
        <f>'Impeller 6G 1150'!P24</f>
        <v>68.518500000000003</v>
      </c>
      <c r="E89" s="70">
        <f t="shared" si="2"/>
        <v>60.507085727668645</v>
      </c>
    </row>
    <row r="90" spans="2:5" x14ac:dyDescent="0.5">
      <c r="B90" s="62">
        <f t="shared" si="1"/>
        <v>1600</v>
      </c>
      <c r="C90" s="70">
        <f t="shared" si="1"/>
        <v>1503.5545084600558</v>
      </c>
      <c r="D90" s="62">
        <f>'Impeller 6G 1150'!P25</f>
        <v>64.619900000000001</v>
      </c>
      <c r="E90" s="70">
        <f t="shared" si="2"/>
        <v>57.064323197579846</v>
      </c>
    </row>
    <row r="91" spans="2:5" x14ac:dyDescent="0.5">
      <c r="B91" s="62">
        <f t="shared" si="1"/>
        <v>1647.06</v>
      </c>
      <c r="C91" s="70">
        <f t="shared" si="1"/>
        <v>1547.7778054401372</v>
      </c>
      <c r="D91" s="62">
        <f>'Impeller 6G 1150'!P26</f>
        <v>62.4756</v>
      </c>
      <c r="E91" s="70">
        <f t="shared" si="2"/>
        <v>55.17074199066726</v>
      </c>
    </row>
    <row r="92" spans="2:5" x14ac:dyDescent="0.5">
      <c r="B92" s="62">
        <f t="shared" ref="B92:C97" si="3">B56</f>
        <v>1699.65</v>
      </c>
      <c r="C92" s="70">
        <f t="shared" si="3"/>
        <v>1597.1977626900839</v>
      </c>
      <c r="D92" s="62">
        <f>'Impeller 6G 1150'!P27</f>
        <v>60.039000000000001</v>
      </c>
      <c r="E92" s="70">
        <f t="shared" si="2"/>
        <v>53.019037486277405</v>
      </c>
    </row>
    <row r="93" spans="2:5" x14ac:dyDescent="0.5">
      <c r="B93" s="62">
        <f t="shared" si="3"/>
        <v>1791</v>
      </c>
      <c r="C93" s="70">
        <f t="shared" si="3"/>
        <v>1683.0413279074751</v>
      </c>
      <c r="D93" s="62">
        <f>'Impeller 6G 1150'!P28</f>
        <v>55.165700000000001</v>
      </c>
      <c r="E93" s="70">
        <f t="shared" si="2"/>
        <v>48.715540169835151</v>
      </c>
    </row>
    <row r="94" spans="2:5" x14ac:dyDescent="0.5">
      <c r="B94" s="62">
        <f t="shared" si="3"/>
        <v>1847.75</v>
      </c>
      <c r="C94" s="70">
        <f t="shared" si="3"/>
        <v>1736.3705268794176</v>
      </c>
      <c r="D94" s="62">
        <f>'Impeller 6G 1150'!P29</f>
        <v>51.3645</v>
      </c>
      <c r="E94" s="70">
        <f t="shared" si="2"/>
        <v>45.358789303017957</v>
      </c>
    </row>
    <row r="95" spans="2:5" x14ac:dyDescent="0.5">
      <c r="B95" s="62">
        <f t="shared" si="3"/>
        <v>1903.11</v>
      </c>
      <c r="C95" s="70">
        <f t="shared" si="3"/>
        <v>1788.3935128721355</v>
      </c>
      <c r="D95" s="62">
        <f>'Impeller 6G 1150'!P30</f>
        <v>47.368400000000001</v>
      </c>
      <c r="E95" s="70">
        <f t="shared" si="2"/>
        <v>41.829926801995072</v>
      </c>
    </row>
    <row r="96" spans="2:5" x14ac:dyDescent="0.5">
      <c r="B96" s="62">
        <f t="shared" si="3"/>
        <v>1948.79</v>
      </c>
      <c r="C96" s="70">
        <f t="shared" si="3"/>
        <v>1831.3199940886702</v>
      </c>
      <c r="D96" s="62">
        <f>'Impeller 6G 1150'!P31</f>
        <v>43.8596</v>
      </c>
      <c r="E96" s="70">
        <f t="shared" si="2"/>
        <v>38.73138754031767</v>
      </c>
    </row>
    <row r="97" spans="1:7" x14ac:dyDescent="0.5">
      <c r="B97" s="62">
        <f t="shared" si="3"/>
        <v>2013.84</v>
      </c>
      <c r="C97" s="70">
        <f t="shared" si="3"/>
        <v>1892.4488820732493</v>
      </c>
      <c r="D97" s="62">
        <f>'Impeller 6G 1150'!P32</f>
        <v>38.401600000000002</v>
      </c>
      <c r="E97" s="70">
        <f t="shared" si="2"/>
        <v>33.911555321258348</v>
      </c>
    </row>
    <row r="98" spans="1:7" x14ac:dyDescent="0.5">
      <c r="A98" s="58" t="s">
        <v>96</v>
      </c>
      <c r="B98" s="59"/>
      <c r="C98" s="59"/>
      <c r="D98" s="59"/>
      <c r="E98" s="59"/>
      <c r="F98" s="60"/>
      <c r="G98" s="60"/>
    </row>
  </sheetData>
  <pageMargins left="0.7" right="0.7" top="0.75" bottom="0.75" header="0.3" footer="0.3"/>
  <drawing r:id="rId1"/>
  <legacyDrawing r:id="rId2"/>
  <oleObjects>
    <mc:AlternateContent xmlns:mc="http://schemas.openxmlformats.org/markup-compatibility/2006">
      <mc:Choice Requires="x14">
        <oleObject progId="Equation.DSMT4" shapeId="45057" r:id="rId3">
          <objectPr defaultSize="0" autoPict="0" r:id="rId4">
            <anchor moveWithCells="1">
              <from>
                <xdr:col>0</xdr:col>
                <xdr:colOff>0</xdr:colOff>
                <xdr:row>63</xdr:row>
                <xdr:rowOff>160867</xdr:rowOff>
              </from>
              <to>
                <xdr:col>2</xdr:col>
                <xdr:colOff>1134533</xdr:colOff>
                <xdr:row>71</xdr:row>
                <xdr:rowOff>122767</xdr:rowOff>
              </to>
            </anchor>
          </objectPr>
        </oleObject>
      </mc:Choice>
      <mc:Fallback>
        <oleObject progId="Equation.DSMT4" shapeId="45057" r:id="rId3"/>
      </mc:Fallback>
    </mc:AlternateContent>
    <mc:AlternateContent xmlns:mc="http://schemas.openxmlformats.org/markup-compatibility/2006">
      <mc:Choice Requires="x14">
        <oleObject progId="Equation.DSMT4" shapeId="45058" r:id="rId5">
          <objectPr defaultSize="0" autoPict="0" r:id="rId6">
            <anchor moveWithCells="1">
              <from>
                <xdr:col>0</xdr:col>
                <xdr:colOff>0</xdr:colOff>
                <xdr:row>2</xdr:row>
                <xdr:rowOff>0</xdr:rowOff>
              </from>
              <to>
                <xdr:col>3</xdr:col>
                <xdr:colOff>1087967</xdr:colOff>
                <xdr:row>15</xdr:row>
                <xdr:rowOff>8467</xdr:rowOff>
              </to>
            </anchor>
          </objectPr>
        </oleObject>
      </mc:Choice>
      <mc:Fallback>
        <oleObject progId="Equation.DSMT4" shapeId="45058" r:id="rId5"/>
      </mc:Fallback>
    </mc:AlternateContent>
    <mc:AlternateContent xmlns:mc="http://schemas.openxmlformats.org/markup-compatibility/2006">
      <mc:Choice Requires="x14">
        <oleObject progId="Equation.DSMT4" shapeId="45059" r:id="rId7">
          <objectPr defaultSize="0" autoPict="0" r:id="rId8">
            <anchor moveWithCells="1">
              <from>
                <xdr:col>0</xdr:col>
                <xdr:colOff>0</xdr:colOff>
                <xdr:row>24</xdr:row>
                <xdr:rowOff>0</xdr:rowOff>
              </from>
              <to>
                <xdr:col>3</xdr:col>
                <xdr:colOff>1066800</xdr:colOff>
                <xdr:row>32</xdr:row>
                <xdr:rowOff>67733</xdr:rowOff>
              </to>
            </anchor>
          </objectPr>
        </oleObject>
      </mc:Choice>
      <mc:Fallback>
        <oleObject progId="Equation.DSMT4" shapeId="45059"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14</vt:i4>
      </vt:variant>
      <vt:variant>
        <vt:lpstr>Named Ranges</vt:lpstr>
      </vt:variant>
      <vt:variant>
        <vt:i4>5</vt:i4>
      </vt:variant>
    </vt:vector>
  </HeadingPairs>
  <TitlesOfParts>
    <vt:vector size="37" baseType="lpstr">
      <vt:lpstr>1510 6G 1150rpm</vt:lpstr>
      <vt:lpstr>Impeller 6G 1150</vt:lpstr>
      <vt:lpstr>Efficiency 6G 1150</vt:lpstr>
      <vt:lpstr>Brake Horsepower 6G 1150</vt:lpstr>
      <vt:lpstr>Design Point System Curve</vt:lpstr>
      <vt:lpstr>Design Impeller from Largest</vt:lpstr>
      <vt:lpstr>75 Pct</vt:lpstr>
      <vt:lpstr>75 Pct Speed Estimate </vt:lpstr>
      <vt:lpstr>75 Pct Speed Estimate Tweak</vt:lpstr>
      <vt:lpstr>50 Pct</vt:lpstr>
      <vt:lpstr>50 Pct Speed Estimate Tweak</vt:lpstr>
      <vt:lpstr>25 Pct </vt:lpstr>
      <vt:lpstr>25 Pct Speed Estimate Tweak</vt:lpstr>
      <vt:lpstr>12.5 Pct</vt:lpstr>
      <vt:lpstr>12.5 Pct Speed Estimate Tweak</vt:lpstr>
      <vt:lpstr>Summary</vt:lpstr>
      <vt:lpstr>Motor Eff Data</vt:lpstr>
      <vt:lpstr>VFD Data &gt;= 20 hp</vt:lpstr>
      <vt:lpstr>1510 6G 1150 Curve Full</vt:lpstr>
      <vt:lpstr>1510 6G 1150 Curve</vt:lpstr>
      <vt:lpstr>System Curve - Design</vt:lpstr>
      <vt:lpstr>Impeller Size Estimate</vt:lpstr>
      <vt:lpstr>75 Pct Point</vt:lpstr>
      <vt:lpstr>75 Pct System Curve</vt:lpstr>
      <vt:lpstr>75 Pct Design</vt:lpstr>
      <vt:lpstr>75 Pct  Speed</vt:lpstr>
      <vt:lpstr>75 Pct Tweaked Speed</vt:lpstr>
      <vt:lpstr>50 Pct Tweaked Speed</vt:lpstr>
      <vt:lpstr>25 Pct Tweaked Speed</vt:lpstr>
      <vt:lpstr>12.5 Pct Tweaked Speed</vt:lpstr>
      <vt:lpstr>30hp Motor Eff Curve</vt:lpstr>
      <vt:lpstr>30hp VFD Eff Curve</vt:lpstr>
      <vt:lpstr>'12.5 Pct'!Print_Titles</vt:lpstr>
      <vt:lpstr>'25 Pct '!Print_Titles</vt:lpstr>
      <vt:lpstr>'50 Pct'!Print_Titles</vt:lpstr>
      <vt:lpstr>'75 Pct'!Print_Titles</vt:lpstr>
      <vt:lps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dcterms:created xsi:type="dcterms:W3CDTF">2017-04-24T18:05:39Z</dcterms:created>
  <dcterms:modified xsi:type="dcterms:W3CDTF">2017-12-12T14:00:14Z</dcterms:modified>
</cp:coreProperties>
</file>