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heckCompatibility="1"/>
  <mc:AlternateContent xmlns:mc="http://schemas.openxmlformats.org/markup-compatibility/2006">
    <mc:Choice Requires="x15">
      <x15ac:absPath xmlns:x15ac="http://schemas.microsoft.com/office/spreadsheetml/2010/11/ac" url="D:\FDE Tools\SketchUp\Chiller Plant Model\Evaporator Pump Addition\Exercise Materials\"/>
    </mc:Choice>
  </mc:AlternateContent>
  <xr:revisionPtr revIDLastSave="0" documentId="13_ncr:1_{37876061-6BDC-498A-8EC1-79338C144323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Butterfly with Check" sheetId="4" r:id="rId1"/>
  </sheets>
  <definedNames>
    <definedName name="_xlnm.Print_Area" localSheetId="0">'Butterfly with Check'!#REF!</definedName>
    <definedName name="_xlnm.Print_Area">#REF!</definedName>
    <definedName name="_xlnm.Print_Titles" localSheetId="0">'Butterfly with Check'!$1:$16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4" l="1"/>
  <c r="I58" i="4"/>
  <c r="F59" i="4"/>
  <c r="I66" i="4"/>
  <c r="J66" i="4" s="1"/>
  <c r="F66" i="4"/>
  <c r="E29" i="4" l="1"/>
  <c r="E28" i="4"/>
  <c r="C45" i="4" l="1"/>
  <c r="C47" i="4"/>
  <c r="C48" i="4"/>
  <c r="C27" i="4"/>
  <c r="I29" i="4"/>
  <c r="F29" i="4"/>
  <c r="I28" i="4"/>
  <c r="F28" i="4"/>
  <c r="I37" i="4"/>
  <c r="F37" i="4"/>
  <c r="E38" i="4"/>
  <c r="C38" i="4"/>
  <c r="I38" i="4" s="1"/>
  <c r="I33" i="4"/>
  <c r="J33" i="4" s="1"/>
  <c r="I32" i="4"/>
  <c r="F38" i="4" l="1"/>
  <c r="I54" i="4"/>
  <c r="F54" i="4"/>
  <c r="I49" i="4"/>
  <c r="F49" i="4"/>
  <c r="G57" i="4" l="1"/>
  <c r="G58" i="4" s="1"/>
  <c r="G59" i="4" s="1"/>
  <c r="J59" i="4" s="1"/>
  <c r="F58" i="4"/>
  <c r="E25" i="4"/>
  <c r="F25" i="4" s="1"/>
  <c r="F21" i="4"/>
  <c r="E22" i="4"/>
  <c r="F22" i="4" s="1"/>
  <c r="E23" i="4"/>
  <c r="E26" i="4"/>
  <c r="F26" i="4" s="1"/>
  <c r="E27" i="4"/>
  <c r="F27" i="4" s="1"/>
  <c r="C30" i="4"/>
  <c r="E30" i="4"/>
  <c r="F31" i="4"/>
  <c r="F34" i="4"/>
  <c r="F35" i="4"/>
  <c r="F36" i="4"/>
  <c r="E39" i="4"/>
  <c r="F39" i="4" s="1"/>
  <c r="E40" i="4"/>
  <c r="F40" i="4" s="1"/>
  <c r="E41" i="4"/>
  <c r="F41" i="4" s="1"/>
  <c r="C42" i="4"/>
  <c r="I42" i="4" s="1"/>
  <c r="F43" i="4"/>
  <c r="C44" i="4"/>
  <c r="E44" i="4"/>
  <c r="E45" i="4" s="1"/>
  <c r="F45" i="4" s="1"/>
  <c r="C46" i="4"/>
  <c r="E46" i="4"/>
  <c r="E47" i="4"/>
  <c r="F48" i="4"/>
  <c r="F50" i="4"/>
  <c r="F51" i="4"/>
  <c r="C52" i="4"/>
  <c r="E52" i="4"/>
  <c r="E53" i="4"/>
  <c r="F53" i="4" s="1"/>
  <c r="F55" i="4"/>
  <c r="E56" i="4"/>
  <c r="F56" i="4" s="1"/>
  <c r="E57" i="4"/>
  <c r="E60" i="4" s="1"/>
  <c r="F60" i="4" s="1"/>
  <c r="F61" i="4"/>
  <c r="F62" i="4"/>
  <c r="F63" i="4"/>
  <c r="F64" i="4"/>
  <c r="F65" i="4"/>
  <c r="F67" i="4"/>
  <c r="F68" i="4"/>
  <c r="F69" i="4"/>
  <c r="G21" i="4"/>
  <c r="G61" i="4" s="1"/>
  <c r="G65" i="4" s="1"/>
  <c r="I21" i="4"/>
  <c r="I22" i="4"/>
  <c r="I23" i="4"/>
  <c r="I24" i="4"/>
  <c r="J24" i="4" s="1"/>
  <c r="I25" i="4"/>
  <c r="I26" i="4"/>
  <c r="I27" i="4"/>
  <c r="I31" i="4"/>
  <c r="I34" i="4"/>
  <c r="I35" i="4"/>
  <c r="I36" i="4"/>
  <c r="I39" i="4"/>
  <c r="I40" i="4"/>
  <c r="I41" i="4"/>
  <c r="H43" i="4"/>
  <c r="I43" i="4" s="1"/>
  <c r="H44" i="4"/>
  <c r="H45" i="4" s="1"/>
  <c r="I44" i="4"/>
  <c r="H46" i="4"/>
  <c r="H47" i="4"/>
  <c r="I47" i="4" s="1"/>
  <c r="I48" i="4"/>
  <c r="I50" i="4"/>
  <c r="G51" i="4"/>
  <c r="G56" i="4" s="1"/>
  <c r="I51" i="4"/>
  <c r="H52" i="4"/>
  <c r="I53" i="4"/>
  <c r="I55" i="4"/>
  <c r="I56" i="4"/>
  <c r="I57" i="4"/>
  <c r="J57" i="4" s="1"/>
  <c r="H60" i="4"/>
  <c r="I60" i="4" s="1"/>
  <c r="H61" i="4"/>
  <c r="I61" i="4" s="1"/>
  <c r="I62" i="4"/>
  <c r="J62" i="4" s="1"/>
  <c r="I63" i="4"/>
  <c r="J63" i="4"/>
  <c r="I64" i="4"/>
  <c r="J64" i="4" s="1"/>
  <c r="I65" i="4"/>
  <c r="J65" i="4" s="1"/>
  <c r="I67" i="4"/>
  <c r="J67" i="4" s="1"/>
  <c r="I68" i="4"/>
  <c r="J68" i="4" s="1"/>
  <c r="I69" i="4"/>
  <c r="J69" i="4" s="1"/>
  <c r="B10" i="4"/>
  <c r="B11" i="4" s="1"/>
  <c r="B12" i="4" s="1"/>
  <c r="F23" i="4" l="1"/>
  <c r="E32" i="4"/>
  <c r="F32" i="4" s="1"/>
  <c r="F57" i="4"/>
  <c r="F30" i="4"/>
  <c r="G32" i="4"/>
  <c r="J32" i="4" s="1"/>
  <c r="G29" i="4"/>
  <c r="J29" i="4" s="1"/>
  <c r="G37" i="4"/>
  <c r="J37" i="4" s="1"/>
  <c r="G38" i="4"/>
  <c r="J38" i="4" s="1"/>
  <c r="G28" i="4"/>
  <c r="J28" i="4" s="1"/>
  <c r="I30" i="4"/>
  <c r="F42" i="4"/>
  <c r="I45" i="4"/>
  <c r="F44" i="4"/>
  <c r="J56" i="4"/>
  <c r="J51" i="4"/>
  <c r="G54" i="4"/>
  <c r="J54" i="4" s="1"/>
  <c r="F47" i="4"/>
  <c r="F46" i="4"/>
  <c r="F52" i="4"/>
  <c r="G27" i="4"/>
  <c r="J27" i="4" s="1"/>
  <c r="G49" i="4"/>
  <c r="J49" i="4" s="1"/>
  <c r="G53" i="4"/>
  <c r="J53" i="4" s="1"/>
  <c r="G36" i="4"/>
  <c r="J36" i="4" s="1"/>
  <c r="J61" i="4"/>
  <c r="G60" i="4"/>
  <c r="J60" i="4" s="1"/>
  <c r="J58" i="4"/>
  <c r="G31" i="4"/>
  <c r="J31" i="4" s="1"/>
  <c r="G40" i="4"/>
  <c r="J40" i="4" s="1"/>
  <c r="G26" i="4"/>
  <c r="J26" i="4" s="1"/>
  <c r="I46" i="4"/>
  <c r="G35" i="4"/>
  <c r="J35" i="4" s="1"/>
  <c r="I52" i="4"/>
  <c r="G23" i="4"/>
  <c r="J23" i="4" s="1"/>
  <c r="G52" i="4"/>
  <c r="G30" i="4"/>
  <c r="G55" i="4"/>
  <c r="J55" i="4" s="1"/>
  <c r="G39" i="4"/>
  <c r="J39" i="4" s="1"/>
  <c r="G25" i="4"/>
  <c r="J25" i="4" s="1"/>
  <c r="G22" i="4"/>
  <c r="J22" i="4" s="1"/>
  <c r="G34" i="4"/>
  <c r="J34" i="4" s="1"/>
  <c r="J21" i="4"/>
  <c r="G41" i="4"/>
  <c r="I70" i="4" l="1"/>
  <c r="F70" i="4"/>
  <c r="F72" i="4" s="1"/>
  <c r="J52" i="4"/>
  <c r="J30" i="4"/>
  <c r="J41" i="4"/>
  <c r="G42" i="4"/>
  <c r="G50" i="4"/>
  <c r="J50" i="4" s="1"/>
  <c r="G47" i="4" l="1"/>
  <c r="G44" i="4"/>
  <c r="J44" i="4" s="1"/>
  <c r="G46" i="4"/>
  <c r="J46" i="4" s="1"/>
  <c r="J42" i="4"/>
  <c r="G45" i="4"/>
  <c r="J45" i="4" s="1"/>
  <c r="G43" i="4"/>
  <c r="J43" i="4" s="1"/>
  <c r="J47" i="4" l="1"/>
  <c r="G48" i="4"/>
  <c r="J48" i="4" s="1"/>
  <c r="J70" i="4" s="1"/>
  <c r="F71" i="4" l="1"/>
  <c r="F73" i="4"/>
  <c r="F75" i="4" l="1"/>
  <c r="F76" i="4" l="1"/>
  <c r="F78" i="4" l="1"/>
  <c r="F79" i="4" s="1"/>
  <c r="F82" i="4" l="1"/>
  <c r="C81" i="4" s="1"/>
</calcChain>
</file>

<file path=xl/sharedStrings.xml><?xml version="1.0" encoding="utf-8"?>
<sst xmlns="http://schemas.openxmlformats.org/spreadsheetml/2006/main" count="153" uniqueCount="94">
  <si>
    <t>1400 SW 5th Ave, Suite 700, Portland, Oregon 97201 (503) 248-4636  FAX: (503) 295-0820 E-Mail: peci@peci.org  Web Site: www.peci.org</t>
  </si>
  <si>
    <t>Engineering Calculation</t>
  </si>
  <si>
    <t xml:space="preserve">Project Name: </t>
  </si>
  <si>
    <t xml:space="preserve">Project Number: </t>
  </si>
  <si>
    <t xml:space="preserve">Engineer: </t>
  </si>
  <si>
    <t>Assumptions</t>
  </si>
  <si>
    <t>Date:</t>
  </si>
  <si>
    <t>????</t>
  </si>
  <si>
    <t>Unit Cost, $</t>
  </si>
  <si>
    <t>Total Cost, $</t>
  </si>
  <si>
    <t>Rate, $ per hour</t>
  </si>
  <si>
    <t>Unit Hours</t>
  </si>
  <si>
    <t>Total Hours</t>
  </si>
  <si>
    <t>TAX</t>
  </si>
  <si>
    <t>TOTAL DIRECT COST</t>
  </si>
  <si>
    <t>CONTINGENCIES</t>
  </si>
  <si>
    <t>Design</t>
  </si>
  <si>
    <t>Construction</t>
  </si>
  <si>
    <t>CONTRACTOR'S MARK-UPS</t>
  </si>
  <si>
    <t>Overhead</t>
  </si>
  <si>
    <t>Profit</t>
  </si>
  <si>
    <t>GRAND TOTAL</t>
  </si>
  <si>
    <t>Notes</t>
  </si>
  <si>
    <t>No.</t>
  </si>
  <si>
    <t>TOTALS</t>
  </si>
  <si>
    <t>Material</t>
  </si>
  <si>
    <t>Description</t>
  </si>
  <si>
    <t>Quant.</t>
  </si>
  <si>
    <t>Units</t>
  </si>
  <si>
    <t>TOTAL - All Cost Components</t>
  </si>
  <si>
    <t>Outside Contractor Labor</t>
  </si>
  <si>
    <t>Net Mark-up with contingencies</t>
  </si>
  <si>
    <t>Pump</t>
  </si>
  <si>
    <t>8" suction Diffusser</t>
  </si>
  <si>
    <t>8" butterfly valve</t>
  </si>
  <si>
    <t>Gauge valves (1/4" ball valves)</t>
  </si>
  <si>
    <t>Vent and drain (3/4" ball valves)</t>
  </si>
  <si>
    <t>Pressure gauge</t>
  </si>
  <si>
    <t>1" conduit</t>
  </si>
  <si>
    <t>#8 gauge wire</t>
  </si>
  <si>
    <t>Panel board switch</t>
  </si>
  <si>
    <t>Pull box</t>
  </si>
  <si>
    <t>8" pipe flanges</t>
  </si>
  <si>
    <t>Alignment</t>
  </si>
  <si>
    <t>Pad</t>
  </si>
  <si>
    <t>Grouting</t>
  </si>
  <si>
    <t>Verification checks and start-up</t>
  </si>
  <si>
    <t>Butterfly valve operator</t>
  </si>
  <si>
    <t>8" flex connector</t>
  </si>
  <si>
    <t>ea</t>
  </si>
  <si>
    <t xml:space="preserve">8" pipe </t>
  </si>
  <si>
    <t>10" x 8" reducing tee</t>
  </si>
  <si>
    <t>ft</t>
  </si>
  <si>
    <t>Fitting insulation - 8" elbow</t>
  </si>
  <si>
    <t>Fitting insulation - 10" tee</t>
  </si>
  <si>
    <t>lot</t>
  </si>
  <si>
    <t>With valve</t>
  </si>
  <si>
    <t>Flange gaskets and bolt sets</t>
  </si>
  <si>
    <t>sq.ft</t>
  </si>
  <si>
    <t>Fitting insulation - flanges</t>
  </si>
  <si>
    <t>Fitting insulation - special fittings</t>
  </si>
  <si>
    <t>Pump/suction diffusser insulation</t>
  </si>
  <si>
    <t>Start stop point</t>
  </si>
  <si>
    <t>Proof of operation point</t>
  </si>
  <si>
    <t>With material</t>
  </si>
  <si>
    <t>10" pipe</t>
  </si>
  <si>
    <t>8" Pipe insulation</t>
  </si>
  <si>
    <t>10" Pipe insulation</t>
  </si>
  <si>
    <t>Drain, Fill and Vent System</t>
  </si>
  <si>
    <t xml:space="preserve">Revised - </t>
  </si>
  <si>
    <t>Commissioning</t>
  </si>
  <si>
    <t xml:space="preserve">RS Means wage adjustments for San Francisco - </t>
  </si>
  <si>
    <t>Mechanial</t>
  </si>
  <si>
    <t>Electrical</t>
  </si>
  <si>
    <t>General</t>
  </si>
  <si>
    <t xml:space="preserve">Inflation rate for revised pricing for 2006 data - </t>
  </si>
  <si>
    <t>http://www.bls.gov/data/inflation_calculator.htm</t>
  </si>
  <si>
    <t xml:space="preserve">Source - </t>
  </si>
  <si>
    <t>8"  Wafer Check</t>
  </si>
  <si>
    <t>Painting</t>
  </si>
  <si>
    <t>Cost Projection for Adding a Redundant Pump - Butterfly with Wafer Check Approach</t>
  </si>
  <si>
    <t>Pipe hanger</t>
  </si>
  <si>
    <t>Conduit hanger</t>
  </si>
  <si>
    <t>10" butterfly valve</t>
  </si>
  <si>
    <t>10" pipe flange</t>
  </si>
  <si>
    <t>10" flange cap</t>
  </si>
  <si>
    <t>8" elbow</t>
  </si>
  <si>
    <t>8" tee</t>
  </si>
  <si>
    <t>Control Program Modification</t>
  </si>
  <si>
    <t>Impeller trim</t>
  </si>
  <si>
    <t>Seals</t>
  </si>
  <si>
    <t>With trim</t>
  </si>
  <si>
    <t>Labeling</t>
  </si>
  <si>
    <t>Starter (15 hp Combination,  Fused)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</si>
</sst>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.\ "/>
    <numFmt numFmtId="165" formatCode="#,##0.0000"/>
    <numFmt numFmtId="166" formatCode="#,##0\ &quot;Btuh&quot;_)"/>
    <numFmt numFmtId="167" formatCode="&quot;$&quot;#,##0"/>
    <numFmt numFmtId="168" formatCode="&quot;$&quot;#,##0.00"/>
    <numFmt numFmtId="169" formatCode="#,##0.0000_);[Red]\(#,##0.0000\)"/>
    <numFmt numFmtId="170" formatCode="[$-F800]dddd\,\ mmmm\ dd\,\ yyyy"/>
    <numFmt numFmtId="171" formatCode="0.0"/>
  </numFmts>
  <fonts count="25" x14ac:knownFonts="1">
    <font>
      <sz val="12"/>
      <name val="Comic Sans MS"/>
      <family val="4"/>
    </font>
    <font>
      <sz val="12"/>
      <name val="Comic Sans MS"/>
      <family val="4"/>
    </font>
    <font>
      <sz val="12"/>
      <color indexed="8"/>
      <name val="Comic Sans MS"/>
      <family val="4"/>
    </font>
    <font>
      <i/>
      <sz val="12"/>
      <color indexed="8"/>
      <name val="Times New Roman"/>
      <family val="1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i/>
      <sz val="12"/>
      <name val="Comic Sans MS"/>
      <family val="4"/>
    </font>
    <font>
      <sz val="11"/>
      <color indexed="9"/>
      <name val="Impact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ahoma"/>
      <family val="2"/>
    </font>
    <font>
      <sz val="14"/>
      <color indexed="8"/>
      <name val="Tahoma"/>
      <family val="2"/>
    </font>
    <font>
      <b/>
      <sz val="12"/>
      <color indexed="8"/>
      <name val="Times New Roman"/>
      <family val="1"/>
    </font>
    <font>
      <sz val="20"/>
      <color indexed="9"/>
      <name val="Tahoma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9"/>
      <name val="Comic Sans MS"/>
      <family val="4"/>
    </font>
    <font>
      <sz val="12"/>
      <name val="Comic Sans MS"/>
      <family val="4"/>
    </font>
    <font>
      <u/>
      <sz val="12"/>
      <color theme="10"/>
      <name val="Comic Sans MS"/>
      <family val="4"/>
    </font>
    <font>
      <u/>
      <sz val="12"/>
      <color theme="8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43"/>
      </right>
      <top style="medium">
        <color indexed="22"/>
      </top>
      <bottom style="medium">
        <color indexed="22"/>
      </bottom>
      <diagonal/>
    </border>
    <border>
      <left style="medium">
        <color indexed="43"/>
      </left>
      <right style="medium">
        <color indexed="43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</borders>
  <cellStyleXfs count="9">
    <xf numFmtId="0" fontId="0" fillId="0" borderId="0">
      <alignment vertical="top"/>
    </xf>
    <xf numFmtId="0" fontId="7" fillId="2" borderId="1" applyNumberFormat="0" applyProtection="0">
      <alignment vertical="center"/>
    </xf>
    <xf numFmtId="0" fontId="1" fillId="0" borderId="0">
      <alignment vertical="top"/>
    </xf>
    <xf numFmtId="0" fontId="8" fillId="0" borderId="0"/>
    <xf numFmtId="0" fontId="11" fillId="0" borderId="0" applyBorder="0" applyProtection="0">
      <alignment vertical="top"/>
    </xf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>
      <alignment vertical="top"/>
    </xf>
    <xf numFmtId="0" fontId="10" fillId="4" borderId="0" applyNumberFormat="0" applyFont="0" applyBorder="0" applyAlignment="0" applyProtection="0">
      <alignment vertical="top"/>
    </xf>
    <xf numFmtId="0" fontId="23" fillId="0" borderId="0" applyNumberFormat="0" applyFill="0" applyBorder="0" applyAlignment="0" applyProtection="0">
      <alignment vertical="top"/>
    </xf>
  </cellStyleXfs>
  <cellXfs count="107">
    <xf numFmtId="0" fontId="0" fillId="0" borderId="0" xfId="0">
      <alignment vertical="top"/>
    </xf>
    <xf numFmtId="0" fontId="1" fillId="0" borderId="0" xfId="2">
      <alignment vertical="top"/>
    </xf>
    <xf numFmtId="3" fontId="1" fillId="0" borderId="0" xfId="2" applyNumberFormat="1">
      <alignment vertical="top"/>
    </xf>
    <xf numFmtId="0" fontId="2" fillId="0" borderId="0" xfId="2" applyFont="1">
      <alignment vertical="top"/>
    </xf>
    <xf numFmtId="0" fontId="3" fillId="0" borderId="0" xfId="2" applyFont="1" applyAlignment="1">
      <alignment horizontal="left" vertical="top"/>
    </xf>
    <xf numFmtId="3" fontId="3" fillId="0" borderId="0" xfId="2" applyNumberFormat="1" applyFont="1">
      <alignment vertical="top"/>
    </xf>
    <xf numFmtId="0" fontId="4" fillId="0" borderId="0" xfId="2" applyFont="1" applyAlignment="1">
      <alignment horizontal="left" vertical="top"/>
    </xf>
    <xf numFmtId="3" fontId="2" fillId="0" borderId="0" xfId="2" applyNumberFormat="1" applyFont="1">
      <alignment vertical="top"/>
    </xf>
    <xf numFmtId="0" fontId="5" fillId="0" borderId="0" xfId="0" applyFont="1" applyAlignment="1"/>
    <xf numFmtId="4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0" fontId="5" fillId="0" borderId="0" xfId="0" applyFont="1">
      <alignment vertical="top"/>
    </xf>
    <xf numFmtId="0" fontId="5" fillId="0" borderId="0" xfId="0" applyFont="1" applyAlignment="1">
      <alignment horizontal="center" vertical="top"/>
    </xf>
    <xf numFmtId="164" fontId="5" fillId="0" borderId="0" xfId="0" applyNumberFormat="1" applyFont="1">
      <alignment vertical="top"/>
    </xf>
    <xf numFmtId="0" fontId="6" fillId="0" borderId="0" xfId="2" applyFont="1">
      <alignment vertical="top"/>
    </xf>
    <xf numFmtId="0" fontId="1" fillId="0" borderId="0" xfId="2" applyAlignment="1">
      <alignment horizontal="right" vertical="top"/>
    </xf>
    <xf numFmtId="3" fontId="1" fillId="0" borderId="0" xfId="2" quotePrefix="1" applyNumberFormat="1">
      <alignment vertical="top"/>
    </xf>
    <xf numFmtId="4" fontId="1" fillId="0" borderId="0" xfId="2" applyNumberFormat="1">
      <alignment vertical="top"/>
    </xf>
    <xf numFmtId="0" fontId="6" fillId="0" borderId="0" xfId="2" applyFont="1" applyAlignment="1">
      <alignment horizontal="left" vertical="top"/>
    </xf>
    <xf numFmtId="0" fontId="1" fillId="0" borderId="0" xfId="2" applyAlignment="1">
      <alignment horizontal="left" vertical="top" wrapText="1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horizontal="left" vertical="top"/>
    </xf>
    <xf numFmtId="3" fontId="1" fillId="0" borderId="0" xfId="2" quotePrefix="1" applyNumberFormat="1" applyAlignment="1">
      <alignment horizontal="left" vertical="top"/>
    </xf>
    <xf numFmtId="0" fontId="8" fillId="0" borderId="0" xfId="3"/>
    <xf numFmtId="0" fontId="8" fillId="0" borderId="0" xfId="3" applyAlignment="1">
      <alignment wrapText="1"/>
    </xf>
    <xf numFmtId="0" fontId="11" fillId="0" borderId="0" xfId="4">
      <alignment vertical="top"/>
    </xf>
    <xf numFmtId="0" fontId="12" fillId="0" borderId="0" xfId="3" applyFont="1"/>
    <xf numFmtId="0" fontId="13" fillId="0" borderId="0" xfId="3" applyFont="1"/>
    <xf numFmtId="10" fontId="17" fillId="5" borderId="0" xfId="7" applyNumberFormat="1" applyFont="1" applyFill="1" applyAlignment="1">
      <alignment horizontal="right" vertical="top" wrapText="1"/>
    </xf>
    <xf numFmtId="167" fontId="17" fillId="5" borderId="0" xfId="7" applyNumberFormat="1" applyFont="1" applyFill="1" applyAlignment="1">
      <alignment horizontal="right" vertical="top" wrapText="1"/>
    </xf>
    <xf numFmtId="167" fontId="18" fillId="5" borderId="0" xfId="7" applyNumberFormat="1" applyFont="1" applyFill="1" applyAlignment="1">
      <alignment horizontal="right" vertical="top" wrapText="1"/>
    </xf>
    <xf numFmtId="0" fontId="20" fillId="0" borderId="0" xfId="4" applyFont="1">
      <alignment vertical="top"/>
    </xf>
    <xf numFmtId="0" fontId="21" fillId="0" borderId="0" xfId="4" applyFont="1">
      <alignment vertical="top"/>
    </xf>
    <xf numFmtId="0" fontId="22" fillId="0" borderId="0" xfId="2" applyFont="1" applyAlignment="1">
      <alignment horizontal="right" vertical="top"/>
    </xf>
    <xf numFmtId="3" fontId="22" fillId="0" borderId="0" xfId="2" applyNumberFormat="1" applyFont="1">
      <alignment vertical="top"/>
    </xf>
    <xf numFmtId="167" fontId="14" fillId="5" borderId="2" xfId="7" applyNumberFormat="1" applyFont="1" applyFill="1" applyBorder="1" applyAlignment="1">
      <alignment horizontal="center" vertical="top" wrapText="1"/>
    </xf>
    <xf numFmtId="166" fontId="14" fillId="5" borderId="2" xfId="7" applyNumberFormat="1" applyFont="1" applyFill="1" applyBorder="1" applyAlignment="1">
      <alignment horizontal="center" vertical="top" wrapText="1"/>
    </xf>
    <xf numFmtId="0" fontId="16" fillId="6" borderId="3" xfId="6" applyFont="1" applyFill="1" applyBorder="1" applyAlignment="1">
      <alignment horizontal="left" vertical="top"/>
    </xf>
    <xf numFmtId="3" fontId="16" fillId="6" borderId="4" xfId="5" applyFont="1" applyFill="1" applyBorder="1" applyAlignment="1">
      <alignment vertical="top"/>
    </xf>
    <xf numFmtId="3" fontId="16" fillId="6" borderId="4" xfId="6" applyNumberFormat="1" applyFont="1" applyFill="1" applyBorder="1" applyAlignment="1"/>
    <xf numFmtId="0" fontId="16" fillId="6" borderId="5" xfId="6" applyFont="1" applyFill="1" applyBorder="1" applyAlignment="1">
      <alignment horizontal="left" vertical="top"/>
    </xf>
    <xf numFmtId="3" fontId="16" fillId="6" borderId="6" xfId="5" applyFont="1" applyFill="1" applyBorder="1" applyAlignment="1">
      <alignment vertical="top"/>
    </xf>
    <xf numFmtId="3" fontId="16" fillId="6" borderId="6" xfId="6" applyNumberFormat="1" applyFont="1" applyFill="1" applyBorder="1" applyAlignment="1"/>
    <xf numFmtId="3" fontId="16" fillId="6" borderId="7" xfId="6" applyNumberFormat="1" applyFont="1" applyFill="1" applyBorder="1" applyAlignment="1"/>
    <xf numFmtId="3" fontId="16" fillId="6" borderId="7" xfId="5" applyFont="1" applyFill="1" applyBorder="1" applyAlignment="1">
      <alignment vertical="top"/>
    </xf>
    <xf numFmtId="10" fontId="17" fillId="5" borderId="8" xfId="7" applyNumberFormat="1" applyFont="1" applyFill="1" applyBorder="1" applyAlignment="1">
      <alignment horizontal="right" vertical="top" wrapText="1"/>
    </xf>
    <xf numFmtId="167" fontId="17" fillId="5" borderId="8" xfId="7" applyNumberFormat="1" applyFont="1" applyFill="1" applyBorder="1" applyAlignment="1">
      <alignment horizontal="right" vertical="top" wrapText="1"/>
    </xf>
    <xf numFmtId="167" fontId="18" fillId="5" borderId="9" xfId="7" applyNumberFormat="1" applyFont="1" applyFill="1" applyBorder="1" applyAlignment="1">
      <alignment horizontal="right" vertical="top" wrapText="1"/>
    </xf>
    <xf numFmtId="167" fontId="17" fillId="5" borderId="10" xfId="7" applyNumberFormat="1" applyFont="1" applyFill="1" applyBorder="1" applyAlignment="1">
      <alignment horizontal="right" vertical="top" wrapText="1"/>
    </xf>
    <xf numFmtId="167" fontId="18" fillId="5" borderId="9" xfId="7" applyNumberFormat="1" applyFont="1" applyFill="1" applyBorder="1" applyAlignment="1">
      <alignment horizontal="left" vertical="top"/>
    </xf>
    <xf numFmtId="167" fontId="18" fillId="5" borderId="0" xfId="7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/>
    </xf>
    <xf numFmtId="0" fontId="1" fillId="0" borderId="0" xfId="2" applyAlignment="1">
      <alignment horizontal="center" vertical="top"/>
    </xf>
    <xf numFmtId="168" fontId="16" fillId="6" borderId="4" xfId="6" applyNumberFormat="1" applyFont="1" applyFill="1" applyBorder="1" applyAlignment="1">
      <alignment horizontal="center"/>
    </xf>
    <xf numFmtId="167" fontId="16" fillId="6" borderId="11" xfId="6" applyNumberFormat="1" applyFont="1" applyFill="1" applyBorder="1" applyAlignment="1">
      <alignment horizontal="center"/>
    </xf>
    <xf numFmtId="169" fontId="16" fillId="6" borderId="4" xfId="6" applyNumberFormat="1" applyFont="1" applyFill="1" applyBorder="1" applyAlignment="1">
      <alignment horizontal="center" vertical="top"/>
    </xf>
    <xf numFmtId="171" fontId="16" fillId="6" borderId="4" xfId="5" applyNumberFormat="1" applyFont="1" applyFill="1" applyBorder="1" applyAlignment="1">
      <alignment horizontal="center" vertical="top"/>
    </xf>
    <xf numFmtId="168" fontId="16" fillId="6" borderId="6" xfId="6" applyNumberFormat="1" applyFont="1" applyFill="1" applyBorder="1" applyAlignment="1">
      <alignment horizontal="center"/>
    </xf>
    <xf numFmtId="167" fontId="16" fillId="6" borderId="12" xfId="6" applyNumberFormat="1" applyFont="1" applyFill="1" applyBorder="1" applyAlignment="1">
      <alignment horizontal="center"/>
    </xf>
    <xf numFmtId="169" fontId="16" fillId="6" borderId="6" xfId="6" applyNumberFormat="1" applyFont="1" applyFill="1" applyBorder="1" applyAlignment="1">
      <alignment horizontal="center" vertical="top"/>
    </xf>
    <xf numFmtId="171" fontId="16" fillId="6" borderId="6" xfId="6" applyNumberFormat="1" applyFont="1" applyFill="1" applyBorder="1" applyAlignment="1">
      <alignment horizontal="center"/>
    </xf>
    <xf numFmtId="168" fontId="16" fillId="6" borderId="7" xfId="6" applyNumberFormat="1" applyFont="1" applyFill="1" applyBorder="1" applyAlignment="1">
      <alignment horizontal="center"/>
    </xf>
    <xf numFmtId="167" fontId="17" fillId="6" borderId="13" xfId="6" applyNumberFormat="1" applyFont="1" applyFill="1" applyBorder="1" applyAlignment="1">
      <alignment horizontal="center"/>
    </xf>
    <xf numFmtId="168" fontId="17" fillId="6" borderId="7" xfId="6" applyNumberFormat="1" applyFont="1" applyFill="1" applyBorder="1" applyAlignment="1">
      <alignment horizontal="center"/>
    </xf>
    <xf numFmtId="169" fontId="17" fillId="6" borderId="7" xfId="6" applyNumberFormat="1" applyFont="1" applyFill="1" applyBorder="1" applyAlignment="1">
      <alignment horizontal="center" vertical="top"/>
    </xf>
    <xf numFmtId="3" fontId="17" fillId="6" borderId="7" xfId="5" applyFont="1" applyFill="1" applyBorder="1" applyAlignment="1">
      <alignment horizontal="center" vertical="top"/>
    </xf>
    <xf numFmtId="167" fontId="17" fillId="5" borderId="8" xfId="7" applyNumberFormat="1" applyFont="1" applyFill="1" applyBorder="1" applyAlignment="1">
      <alignment horizontal="center" vertical="top" wrapText="1"/>
    </xf>
    <xf numFmtId="167" fontId="9" fillId="5" borderId="8" xfId="7" applyNumberFormat="1" applyFont="1" applyFill="1" applyBorder="1" applyAlignment="1">
      <alignment horizontal="center" vertical="top" wrapText="1"/>
    </xf>
    <xf numFmtId="167" fontId="17" fillId="5" borderId="0" xfId="7" applyNumberFormat="1" applyFont="1" applyFill="1" applyAlignment="1">
      <alignment horizontal="center" vertical="top" wrapText="1"/>
    </xf>
    <xf numFmtId="167" fontId="9" fillId="5" borderId="0" xfId="7" applyNumberFormat="1" applyFont="1" applyFill="1" applyAlignment="1">
      <alignment horizontal="center" vertical="top" wrapText="1"/>
    </xf>
    <xf numFmtId="167" fontId="17" fillId="5" borderId="10" xfId="7" applyNumberFormat="1" applyFont="1" applyFill="1" applyBorder="1" applyAlignment="1">
      <alignment horizontal="center" vertical="top" wrapText="1"/>
    </xf>
    <xf numFmtId="167" fontId="9" fillId="5" borderId="10" xfId="7" applyNumberFormat="1" applyFont="1" applyFill="1" applyBorder="1" applyAlignment="1">
      <alignment horizontal="center" vertical="top" wrapText="1"/>
    </xf>
    <xf numFmtId="0" fontId="11" fillId="0" borderId="0" xfId="4" applyAlignment="1">
      <alignment horizontal="center" vertical="top"/>
    </xf>
    <xf numFmtId="3" fontId="0" fillId="6" borderId="6" xfId="5" applyFont="1" applyFill="1" applyBorder="1" applyAlignment="1">
      <alignment vertical="top"/>
    </xf>
    <xf numFmtId="168" fontId="0" fillId="6" borderId="6" xfId="6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4" fontId="24" fillId="0" borderId="0" xfId="8" applyNumberFormat="1" applyFont="1" applyAlignment="1">
      <alignment horizontal="left" vertical="top"/>
    </xf>
    <xf numFmtId="0" fontId="8" fillId="9" borderId="0" xfId="3" applyFill="1"/>
    <xf numFmtId="170" fontId="5" fillId="0" borderId="0" xfId="0" applyNumberFormat="1" applyFont="1" applyAlignment="1">
      <alignment horizontal="left" vertical="top"/>
    </xf>
    <xf numFmtId="0" fontId="5" fillId="0" borderId="0" xfId="0" applyFont="1">
      <alignment vertical="top"/>
    </xf>
    <xf numFmtId="168" fontId="16" fillId="6" borderId="22" xfId="6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8" fontId="16" fillId="6" borderId="14" xfId="6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21" fillId="0" borderId="0" xfId="4" applyFont="1">
      <alignment vertical="top"/>
    </xf>
    <xf numFmtId="0" fontId="0" fillId="0" borderId="0" xfId="0">
      <alignment vertical="top"/>
    </xf>
    <xf numFmtId="167" fontId="18" fillId="5" borderId="24" xfId="7" applyNumberFormat="1" applyFont="1" applyFill="1" applyBorder="1" applyAlignment="1">
      <alignment vertical="top" wrapText="1"/>
    </xf>
    <xf numFmtId="0" fontId="19" fillId="5" borderId="10" xfId="0" applyFont="1" applyFill="1" applyBorder="1" applyAlignment="1">
      <alignment vertical="top" wrapText="1"/>
    </xf>
    <xf numFmtId="167" fontId="18" fillId="5" borderId="9" xfId="7" applyNumberFormat="1" applyFont="1" applyFill="1" applyBorder="1" applyAlignment="1">
      <alignment vertical="top" wrapText="1"/>
    </xf>
    <xf numFmtId="0" fontId="19" fillId="5" borderId="0" xfId="0" applyFont="1" applyFill="1" applyAlignment="1">
      <alignment vertical="top" wrapText="1"/>
    </xf>
    <xf numFmtId="0" fontId="17" fillId="6" borderId="20" xfId="6" applyFont="1" applyFill="1" applyBorder="1" applyAlignment="1">
      <alignment horizontal="left" vertical="top"/>
    </xf>
    <xf numFmtId="0" fontId="17" fillId="0" borderId="7" xfId="0" applyFont="1" applyBorder="1">
      <alignment vertical="top"/>
    </xf>
    <xf numFmtId="167" fontId="18" fillId="5" borderId="21" xfId="7" applyNumberFormat="1" applyFont="1" applyFill="1" applyBorder="1" applyAlignment="1">
      <alignment vertical="top" wrapText="1"/>
    </xf>
    <xf numFmtId="0" fontId="19" fillId="5" borderId="8" xfId="0" applyFont="1" applyFill="1" applyBorder="1" applyAlignment="1">
      <alignment vertical="top" wrapText="1"/>
    </xf>
    <xf numFmtId="168" fontId="0" fillId="6" borderId="14" xfId="6" applyNumberFormat="1" applyFont="1" applyFill="1" applyBorder="1" applyAlignment="1">
      <alignment horizontal="center"/>
    </xf>
    <xf numFmtId="0" fontId="15" fillId="7" borderId="16" xfId="1" applyFont="1" applyFill="1" applyBorder="1">
      <alignment vertical="center"/>
    </xf>
    <xf numFmtId="0" fontId="0" fillId="7" borderId="17" xfId="0" applyFill="1" applyBorder="1" applyAlignment="1">
      <alignment vertical="center"/>
    </xf>
    <xf numFmtId="0" fontId="13" fillId="8" borderId="18" xfId="1" applyFont="1" applyFill="1" applyBorder="1" applyAlignment="1">
      <alignment vertical="top"/>
    </xf>
    <xf numFmtId="0" fontId="5" fillId="8" borderId="19" xfId="0" applyFont="1" applyFill="1" applyBorder="1">
      <alignment vertical="top"/>
    </xf>
    <xf numFmtId="0" fontId="13" fillId="8" borderId="18" xfId="1" applyFont="1" applyFill="1" applyBorder="1" applyAlignment="1">
      <alignment horizontal="center" vertical="top"/>
    </xf>
    <xf numFmtId="0" fontId="5" fillId="8" borderId="19" xfId="0" applyFont="1" applyFill="1" applyBorder="1" applyAlignment="1">
      <alignment horizontal="center" vertical="top"/>
    </xf>
    <xf numFmtId="0" fontId="13" fillId="8" borderId="2" xfId="1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</cellXfs>
  <cellStyles count="9">
    <cellStyle name="head sep" xfId="1" xr:uid="{00000000-0005-0000-0000-000000000000}"/>
    <cellStyle name="Hyperlink" xfId="8" builtinId="8"/>
    <cellStyle name="Normal" xfId="0" builtinId="0"/>
    <cellStyle name="Normal_Blank Engineering Calculation1" xfId="2" xr:uid="{00000000-0005-0000-0000-000003000000}"/>
    <cellStyle name="Normal_Cost Projection11" xfId="3" xr:uid="{00000000-0005-0000-0000-000004000000}"/>
    <cellStyle name="note" xfId="4" xr:uid="{00000000-0005-0000-0000-000005000000}"/>
    <cellStyle name="num" xfId="5" xr:uid="{00000000-0005-0000-0000-000006000000}"/>
    <cellStyle name="shade lt" xfId="6" xr:uid="{00000000-0005-0000-0000-000007000000}"/>
    <cellStyle name="shade md" xfId="7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9479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5C852B"/>
      <rgbColor rgb="0099CCFF"/>
      <rgbColor rgb="0099FFCC"/>
      <rgbColor rgb="00CC99FF"/>
      <rgbColor rgb="009A3E00"/>
      <rgbColor rgb="003366FF"/>
      <rgbColor rgb="0033CCCC"/>
      <rgbColor rgb="0099CC00"/>
      <rgbColor rgb="00FFCC00"/>
      <rgbColor rgb="00FF9900"/>
      <rgbColor rgb="00FF6600"/>
      <rgbColor rgb="00C0C0C0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695325</xdr:colOff>
      <xdr:row>0</xdr:row>
      <xdr:rowOff>1438275</xdr:rowOff>
    </xdr:to>
    <xdr:pic>
      <xdr:nvPicPr>
        <xdr:cNvPr id="2" name="Picture 35" descr="logo_smal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528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DE Primary">
      <a:dk1>
        <a:srgbClr val="000000"/>
      </a:dk1>
      <a:lt1>
        <a:srgbClr val="FFFFFF"/>
      </a:lt1>
      <a:dk2>
        <a:srgbClr val="FFFFFF"/>
      </a:dk2>
      <a:lt2>
        <a:srgbClr val="000000"/>
      </a:lt2>
      <a:accent1>
        <a:srgbClr val="FF0000"/>
      </a:accent1>
      <a:accent2>
        <a:srgbClr val="FFFF00"/>
      </a:accent2>
      <a:accent3>
        <a:srgbClr val="FF9933"/>
      </a:accent3>
      <a:accent4>
        <a:srgbClr val="009900"/>
      </a:accent4>
      <a:accent5>
        <a:srgbClr val="0000FF"/>
      </a:accent5>
      <a:accent6>
        <a:srgbClr val="9933FF"/>
      </a:accent6>
      <a:hlink>
        <a:srgbClr val="00B0F0"/>
      </a:hlink>
      <a:folHlink>
        <a:srgbClr val="6565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data/inflation_calculato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N118"/>
  <sheetViews>
    <sheetView tabSelected="1" defaultGridColor="0" colorId="22" zoomScale="73" workbookViewId="0">
      <selection activeCell="B56" sqref="B56"/>
    </sheetView>
  </sheetViews>
  <sheetFormatPr defaultColWidth="11" defaultRowHeight="18.3" x14ac:dyDescent="0.85"/>
  <cols>
    <col min="1" max="1" width="3.58203125" style="1" customWidth="1"/>
    <col min="2" max="2" width="30.58203125" style="2" customWidth="1"/>
    <col min="3" max="4" width="8.58203125" style="1" customWidth="1"/>
    <col min="5" max="10" width="10.70703125" style="53" customWidth="1"/>
    <col min="11" max="11" width="13.70703125" style="1" customWidth="1"/>
    <col min="12" max="13" width="11" style="1"/>
    <col min="14" max="15" width="14.70703125" style="1" customWidth="1"/>
    <col min="16" max="17" width="15.70703125" style="1" customWidth="1"/>
    <col min="18" max="18" width="11" style="1"/>
    <col min="19" max="19" width="11.70703125" style="1" customWidth="1"/>
    <col min="20" max="20" width="14.70703125" style="1" customWidth="1"/>
    <col min="21" max="16384" width="11" style="1"/>
  </cols>
  <sheetData>
    <row r="1" spans="1:14" ht="114" customHeight="1" x14ac:dyDescent="0.85">
      <c r="C1" s="3"/>
    </row>
    <row r="2" spans="1:14" ht="20.100000000000001" customHeight="1" x14ac:dyDescent="0.85">
      <c r="A2" s="4" t="s">
        <v>0</v>
      </c>
      <c r="B2" s="5"/>
      <c r="C2" s="3"/>
    </row>
    <row r="3" spans="1:14" x14ac:dyDescent="0.85">
      <c r="A3" s="6" t="s">
        <v>1</v>
      </c>
      <c r="B3" s="7"/>
      <c r="C3" s="3"/>
      <c r="D3" s="3"/>
    </row>
    <row r="4" spans="1:14" customFormat="1" x14ac:dyDescent="0.85">
      <c r="B4" s="8" t="s">
        <v>6</v>
      </c>
      <c r="C4" s="82">
        <v>38966.68987199074</v>
      </c>
      <c r="D4" s="83"/>
      <c r="E4" s="83"/>
      <c r="F4" s="77" t="s">
        <v>69</v>
      </c>
      <c r="G4" s="82">
        <v>43546.699520949071</v>
      </c>
      <c r="H4" s="83"/>
      <c r="I4" s="83"/>
      <c r="J4" s="77"/>
      <c r="K4" s="82"/>
      <c r="L4" s="83"/>
      <c r="M4" s="83"/>
      <c r="N4" s="9"/>
    </row>
    <row r="5" spans="1:14" customFormat="1" x14ac:dyDescent="0.85">
      <c r="B5" s="8" t="s">
        <v>2</v>
      </c>
      <c r="C5" s="52" t="s">
        <v>7</v>
      </c>
      <c r="D5" s="13"/>
      <c r="E5" s="9"/>
      <c r="F5" s="9"/>
      <c r="G5" s="10"/>
      <c r="H5" s="9"/>
      <c r="I5" s="9"/>
      <c r="J5" s="9"/>
      <c r="K5" s="9"/>
      <c r="L5" s="11"/>
      <c r="M5" s="9"/>
      <c r="N5" s="9"/>
    </row>
    <row r="6" spans="1:14" customFormat="1" x14ac:dyDescent="0.85">
      <c r="B6" s="8" t="s">
        <v>3</v>
      </c>
      <c r="C6" s="52" t="s">
        <v>7</v>
      </c>
      <c r="D6" s="13"/>
      <c r="E6" s="9"/>
      <c r="F6" s="9"/>
      <c r="G6" s="10"/>
      <c r="H6" s="9"/>
      <c r="I6" s="9"/>
      <c r="J6" s="9"/>
      <c r="K6" s="9"/>
      <c r="L6" s="11"/>
      <c r="M6" s="9"/>
      <c r="N6" s="9"/>
    </row>
    <row r="7" spans="1:14" customFormat="1" x14ac:dyDescent="0.85">
      <c r="B7" s="8" t="s">
        <v>4</v>
      </c>
      <c r="C7" s="52" t="s">
        <v>7</v>
      </c>
      <c r="D7" s="13"/>
      <c r="E7" s="9"/>
      <c r="F7" s="9"/>
      <c r="G7" s="10"/>
      <c r="H7" s="9"/>
      <c r="I7" s="9"/>
      <c r="J7" s="9"/>
      <c r="K7" s="9"/>
      <c r="L7" s="11"/>
      <c r="M7" s="9"/>
      <c r="N7" s="9"/>
    </row>
    <row r="8" spans="1:14" customFormat="1" x14ac:dyDescent="0.85">
      <c r="B8" s="12" t="s">
        <v>5</v>
      </c>
      <c r="C8" s="13"/>
      <c r="D8" s="13"/>
      <c r="E8" s="9"/>
      <c r="F8" s="9"/>
      <c r="G8" s="9"/>
      <c r="H8" s="9"/>
      <c r="I8" s="9"/>
      <c r="J8" s="9"/>
      <c r="K8" s="9"/>
      <c r="L8" s="11"/>
      <c r="M8" s="9"/>
      <c r="N8" s="9"/>
    </row>
    <row r="9" spans="1:14" customFormat="1" x14ac:dyDescent="0.85">
      <c r="B9" s="14">
        <v>1</v>
      </c>
      <c r="D9" s="13"/>
      <c r="G9" s="78" t="s">
        <v>75</v>
      </c>
      <c r="H9" s="79">
        <v>1.19</v>
      </c>
      <c r="I9" s="77" t="s">
        <v>77</v>
      </c>
      <c r="J9" s="80" t="s">
        <v>76</v>
      </c>
      <c r="K9" s="9"/>
      <c r="L9" s="11"/>
      <c r="M9" s="9"/>
      <c r="N9" s="9"/>
    </row>
    <row r="10" spans="1:14" customFormat="1" x14ac:dyDescent="0.85">
      <c r="B10" s="14">
        <f>B9+1</f>
        <v>2</v>
      </c>
      <c r="C10" s="52"/>
      <c r="D10" s="13"/>
      <c r="G10" s="78" t="s">
        <v>71</v>
      </c>
      <c r="H10" s="79">
        <v>1.75</v>
      </c>
      <c r="I10" s="76" t="s">
        <v>72</v>
      </c>
      <c r="J10" s="9"/>
      <c r="K10" s="9"/>
      <c r="L10" s="11"/>
      <c r="M10" s="9"/>
      <c r="N10" s="9"/>
    </row>
    <row r="11" spans="1:14" customFormat="1" x14ac:dyDescent="0.85">
      <c r="B11" s="14">
        <f>B10+1</f>
        <v>3</v>
      </c>
      <c r="C11" s="52" t="s">
        <v>7</v>
      </c>
      <c r="D11" s="13"/>
      <c r="E11" s="9"/>
      <c r="G11" s="9"/>
      <c r="H11" s="79">
        <v>1.59</v>
      </c>
      <c r="I11" s="76" t="s">
        <v>73</v>
      </c>
      <c r="J11" s="9"/>
      <c r="K11" s="9"/>
      <c r="L11" s="11"/>
      <c r="M11" s="9"/>
      <c r="N11" s="9"/>
    </row>
    <row r="12" spans="1:14" customFormat="1" x14ac:dyDescent="0.85">
      <c r="B12" s="14">
        <f>B11+1</f>
        <v>4</v>
      </c>
      <c r="C12" s="52" t="s">
        <v>7</v>
      </c>
      <c r="D12" s="13"/>
      <c r="E12" s="9"/>
      <c r="G12" s="9"/>
      <c r="H12" s="79">
        <v>1.26</v>
      </c>
      <c r="I12" s="76" t="s">
        <v>74</v>
      </c>
      <c r="J12" s="9"/>
      <c r="K12" s="9"/>
      <c r="L12" s="11"/>
      <c r="M12" s="9"/>
      <c r="N12" s="9"/>
    </row>
    <row r="13" spans="1:14" customFormat="1" x14ac:dyDescent="0.85">
      <c r="B13" s="14">
        <v>5</v>
      </c>
      <c r="C13" s="52" t="s">
        <v>7</v>
      </c>
      <c r="D13" s="13"/>
      <c r="E13" s="9"/>
      <c r="F13" s="9"/>
      <c r="G13" s="10"/>
      <c r="H13" s="9"/>
      <c r="I13" s="9"/>
      <c r="J13" s="9"/>
      <c r="K13" s="9"/>
      <c r="L13" s="11"/>
      <c r="M13" s="9"/>
      <c r="N13" s="9"/>
    </row>
    <row r="14" spans="1:14" customFormat="1" x14ac:dyDescent="0.85">
      <c r="B14" s="14">
        <v>6</v>
      </c>
      <c r="C14" s="52" t="s">
        <v>7</v>
      </c>
      <c r="D14" s="13"/>
      <c r="E14" s="9"/>
      <c r="F14" s="9"/>
      <c r="G14" s="10"/>
      <c r="H14" s="9"/>
      <c r="I14" s="9"/>
      <c r="J14" s="9"/>
      <c r="K14" s="9"/>
      <c r="L14" s="11"/>
      <c r="M14" s="9"/>
      <c r="N14" s="9"/>
    </row>
    <row r="15" spans="1:14" customFormat="1" x14ac:dyDescent="0.85">
      <c r="B15" s="14">
        <v>7</v>
      </c>
      <c r="C15" s="52" t="s">
        <v>7</v>
      </c>
      <c r="D15" s="13"/>
      <c r="E15" s="9"/>
      <c r="F15" s="9"/>
      <c r="G15" s="10"/>
      <c r="H15" s="9"/>
      <c r="I15" s="9"/>
      <c r="J15" s="9"/>
      <c r="K15" s="9"/>
      <c r="L15" s="11"/>
      <c r="M15" s="9"/>
      <c r="N15" s="9"/>
    </row>
    <row r="16" spans="1:14" customFormat="1" x14ac:dyDescent="0.85">
      <c r="B16" s="14">
        <v>8</v>
      </c>
      <c r="C16" s="52" t="s">
        <v>7</v>
      </c>
      <c r="D16" s="13"/>
      <c r="E16" s="9"/>
      <c r="F16" s="9"/>
      <c r="G16" s="10"/>
      <c r="H16" s="9"/>
      <c r="I16" s="9"/>
      <c r="J16" s="9"/>
      <c r="K16" s="9"/>
      <c r="L16" s="11"/>
      <c r="M16" s="9"/>
      <c r="N16" s="9"/>
    </row>
    <row r="17" spans="1:11" ht="19.5" customHeight="1" thickBot="1" x14ac:dyDescent="0.9">
      <c r="A17" s="15"/>
    </row>
    <row r="18" spans="1:11" s="28" customFormat="1" ht="25.15" customHeight="1" thickBot="1" x14ac:dyDescent="0.6">
      <c r="A18" s="99" t="s">
        <v>80</v>
      </c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1" s="27" customFormat="1" ht="18.600000000000001" thickBot="1" x14ac:dyDescent="0.6">
      <c r="A19" s="101" t="s">
        <v>23</v>
      </c>
      <c r="B19" s="103" t="s">
        <v>26</v>
      </c>
      <c r="C19" s="103" t="s">
        <v>27</v>
      </c>
      <c r="D19" s="103" t="s">
        <v>28</v>
      </c>
      <c r="E19" s="105" t="s">
        <v>25</v>
      </c>
      <c r="F19" s="106"/>
      <c r="G19" s="105" t="s">
        <v>30</v>
      </c>
      <c r="H19" s="105"/>
      <c r="I19" s="105"/>
      <c r="J19" s="105"/>
    </row>
    <row r="20" spans="1:11" s="25" customFormat="1" ht="30.3" thickBot="1" x14ac:dyDescent="0.45">
      <c r="A20" s="102"/>
      <c r="B20" s="104"/>
      <c r="C20" s="104"/>
      <c r="D20" s="104"/>
      <c r="E20" s="36" t="s">
        <v>8</v>
      </c>
      <c r="F20" s="37" t="s">
        <v>9</v>
      </c>
      <c r="G20" s="36" t="s">
        <v>10</v>
      </c>
      <c r="H20" s="37" t="s">
        <v>11</v>
      </c>
      <c r="I20" s="37" t="s">
        <v>12</v>
      </c>
      <c r="J20" s="36" t="s">
        <v>9</v>
      </c>
    </row>
    <row r="21" spans="1:11" s="24" customFormat="1" x14ac:dyDescent="0.85">
      <c r="A21" s="38"/>
      <c r="B21" s="39" t="s">
        <v>32</v>
      </c>
      <c r="C21" s="40">
        <v>1</v>
      </c>
      <c r="D21" s="39" t="s">
        <v>49</v>
      </c>
      <c r="E21" s="54">
        <v>10600</v>
      </c>
      <c r="F21" s="55">
        <f>+C21*E21</f>
        <v>10600</v>
      </c>
      <c r="G21" s="54">
        <f>55*H10</f>
        <v>96.25</v>
      </c>
      <c r="H21" s="56">
        <v>48</v>
      </c>
      <c r="I21" s="57">
        <f t="shared" ref="I21:I69" si="0">C21*H21</f>
        <v>48</v>
      </c>
      <c r="J21" s="55">
        <f t="shared" ref="J21:J69" si="1">+G21*I21</f>
        <v>4620</v>
      </c>
    </row>
    <row r="22" spans="1:11" s="24" customFormat="1" x14ac:dyDescent="0.85">
      <c r="A22" s="41"/>
      <c r="B22" s="42" t="s">
        <v>33</v>
      </c>
      <c r="C22" s="43">
        <v>1</v>
      </c>
      <c r="D22" s="42" t="s">
        <v>49</v>
      </c>
      <c r="E22" s="58">
        <f>1775*H9</f>
        <v>2112.25</v>
      </c>
      <c r="F22" s="59">
        <f>+C22*E22</f>
        <v>2112.25</v>
      </c>
      <c r="G22" s="58">
        <f>$G$21</f>
        <v>96.25</v>
      </c>
      <c r="H22" s="60">
        <v>9.6</v>
      </c>
      <c r="I22" s="61">
        <f t="shared" si="0"/>
        <v>9.6</v>
      </c>
      <c r="J22" s="59">
        <f t="shared" si="1"/>
        <v>924</v>
      </c>
    </row>
    <row r="23" spans="1:11" s="24" customFormat="1" x14ac:dyDescent="0.85">
      <c r="A23" s="41"/>
      <c r="B23" s="42" t="s">
        <v>34</v>
      </c>
      <c r="C23" s="43">
        <v>3</v>
      </c>
      <c r="D23" s="42" t="s">
        <v>49</v>
      </c>
      <c r="E23" s="58">
        <f>320*H9</f>
        <v>380.79999999999995</v>
      </c>
      <c r="F23" s="59">
        <f>+C23*E23</f>
        <v>1142.3999999999999</v>
      </c>
      <c r="G23" s="58">
        <f>$G$21</f>
        <v>96.25</v>
      </c>
      <c r="H23" s="60">
        <v>5.3330000000000002</v>
      </c>
      <c r="I23" s="61">
        <f t="shared" si="0"/>
        <v>15.999000000000001</v>
      </c>
      <c r="J23" s="59">
        <f t="shared" si="1"/>
        <v>1539.9037499999999</v>
      </c>
    </row>
    <row r="24" spans="1:11" s="24" customFormat="1" x14ac:dyDescent="0.85">
      <c r="A24" s="41"/>
      <c r="B24" s="42" t="s">
        <v>47</v>
      </c>
      <c r="C24" s="43">
        <v>3</v>
      </c>
      <c r="D24" s="42" t="s">
        <v>49</v>
      </c>
      <c r="E24" s="84" t="s">
        <v>56</v>
      </c>
      <c r="F24" s="85"/>
      <c r="G24" s="86" t="s">
        <v>56</v>
      </c>
      <c r="H24" s="87"/>
      <c r="I24" s="61">
        <f t="shared" si="0"/>
        <v>0</v>
      </c>
      <c r="J24" s="59">
        <f t="shared" si="1"/>
        <v>0</v>
      </c>
    </row>
    <row r="25" spans="1:11" s="24" customFormat="1" x14ac:dyDescent="0.85">
      <c r="A25" s="41"/>
      <c r="B25" s="74" t="s">
        <v>78</v>
      </c>
      <c r="C25" s="43">
        <v>2</v>
      </c>
      <c r="D25" s="42" t="s">
        <v>49</v>
      </c>
      <c r="E25" s="58">
        <f>950*H9</f>
        <v>1130.5</v>
      </c>
      <c r="F25" s="59">
        <f t="shared" ref="F25:F69" si="2">+C25*E25</f>
        <v>2261</v>
      </c>
      <c r="G25" s="58">
        <f>$G$21</f>
        <v>96.25</v>
      </c>
      <c r="H25" s="60">
        <v>5.3330000000000002</v>
      </c>
      <c r="I25" s="61">
        <f t="shared" si="0"/>
        <v>10.666</v>
      </c>
      <c r="J25" s="59">
        <f t="shared" si="1"/>
        <v>1026.6025</v>
      </c>
    </row>
    <row r="26" spans="1:11" s="24" customFormat="1" x14ac:dyDescent="0.85">
      <c r="A26" s="41"/>
      <c r="B26" s="42" t="s">
        <v>48</v>
      </c>
      <c r="C26" s="43">
        <v>2</v>
      </c>
      <c r="D26" s="42" t="s">
        <v>49</v>
      </c>
      <c r="E26" s="58">
        <f>310*H9</f>
        <v>368.9</v>
      </c>
      <c r="F26" s="59">
        <f t="shared" si="2"/>
        <v>737.8</v>
      </c>
      <c r="G26" s="58">
        <f>$G$21</f>
        <v>96.25</v>
      </c>
      <c r="H26" s="60">
        <v>2</v>
      </c>
      <c r="I26" s="61">
        <f t="shared" si="0"/>
        <v>4</v>
      </c>
      <c r="J26" s="59">
        <f t="shared" si="1"/>
        <v>385</v>
      </c>
    </row>
    <row r="27" spans="1:11" s="24" customFormat="1" x14ac:dyDescent="0.85">
      <c r="A27" s="41"/>
      <c r="B27" s="42" t="s">
        <v>42</v>
      </c>
      <c r="C27" s="43">
        <f>10+8</f>
        <v>18</v>
      </c>
      <c r="D27" s="42" t="s">
        <v>49</v>
      </c>
      <c r="E27" s="58">
        <f>(84.5+8)*H9</f>
        <v>110.07499999999999</v>
      </c>
      <c r="F27" s="59">
        <f t="shared" si="2"/>
        <v>1981.35</v>
      </c>
      <c r="G27" s="58">
        <f t="shared" ref="G27:G41" si="3">$G$21</f>
        <v>96.25</v>
      </c>
      <c r="H27" s="60">
        <v>3.4289999999999998</v>
      </c>
      <c r="I27" s="61">
        <f t="shared" si="0"/>
        <v>61.721999999999994</v>
      </c>
      <c r="J27" s="59">
        <f t="shared" si="1"/>
        <v>5940.7424999999994</v>
      </c>
    </row>
    <row r="28" spans="1:11" s="24" customFormat="1" x14ac:dyDescent="0.85">
      <c r="A28" s="41"/>
      <c r="B28" s="74" t="s">
        <v>86</v>
      </c>
      <c r="C28" s="43">
        <v>4</v>
      </c>
      <c r="D28" s="42" t="s">
        <v>49</v>
      </c>
      <c r="E28" s="58">
        <f>((2*84.5)+8)*H9</f>
        <v>210.63</v>
      </c>
      <c r="F28" s="59">
        <f>+C28*E28</f>
        <v>842.52</v>
      </c>
      <c r="G28" s="58">
        <f t="shared" si="3"/>
        <v>96.25</v>
      </c>
      <c r="H28" s="60">
        <v>3.4289999999999998</v>
      </c>
      <c r="I28" s="61">
        <f>C28*H28</f>
        <v>13.715999999999999</v>
      </c>
      <c r="J28" s="59">
        <f>+G28*I28</f>
        <v>1320.165</v>
      </c>
      <c r="K28" s="81"/>
    </row>
    <row r="29" spans="1:11" s="24" customFormat="1" x14ac:dyDescent="0.85">
      <c r="A29" s="41"/>
      <c r="B29" s="74" t="s">
        <v>87</v>
      </c>
      <c r="C29" s="43">
        <v>3</v>
      </c>
      <c r="D29" s="42" t="s">
        <v>49</v>
      </c>
      <c r="E29" s="58">
        <f>((8/10)*E34)*H9</f>
        <v>809.19999999999993</v>
      </c>
      <c r="F29" s="59">
        <f>+C29*E29</f>
        <v>2427.6</v>
      </c>
      <c r="G29" s="58">
        <f t="shared" si="3"/>
        <v>96.25</v>
      </c>
      <c r="H29" s="60">
        <v>3.4289999999999998</v>
      </c>
      <c r="I29" s="61">
        <f>C29*H29</f>
        <v>10.286999999999999</v>
      </c>
      <c r="J29" s="59">
        <f>+G29*I29</f>
        <v>990.12374999999986</v>
      </c>
      <c r="K29" s="81"/>
    </row>
    <row r="30" spans="1:11" s="24" customFormat="1" x14ac:dyDescent="0.85">
      <c r="A30" s="41"/>
      <c r="B30" s="42" t="s">
        <v>57</v>
      </c>
      <c r="C30" s="43">
        <f>C27</f>
        <v>18</v>
      </c>
      <c r="D30" s="42" t="s">
        <v>49</v>
      </c>
      <c r="E30" s="58">
        <f>H9*16.2</f>
        <v>19.277999999999999</v>
      </c>
      <c r="F30" s="59">
        <f t="shared" si="2"/>
        <v>347.00399999999996</v>
      </c>
      <c r="G30" s="58">
        <f t="shared" si="3"/>
        <v>96.25</v>
      </c>
      <c r="H30" s="60">
        <v>1.6</v>
      </c>
      <c r="I30" s="61">
        <f t="shared" si="0"/>
        <v>28.8</v>
      </c>
      <c r="J30" s="59">
        <f t="shared" si="1"/>
        <v>2772</v>
      </c>
    </row>
    <row r="31" spans="1:11" s="24" customFormat="1" x14ac:dyDescent="0.85">
      <c r="A31" s="41"/>
      <c r="B31" s="42" t="s">
        <v>50</v>
      </c>
      <c r="C31" s="43">
        <v>14</v>
      </c>
      <c r="D31" s="42" t="s">
        <v>52</v>
      </c>
      <c r="E31" s="58">
        <v>68.5</v>
      </c>
      <c r="F31" s="59">
        <f t="shared" si="2"/>
        <v>959</v>
      </c>
      <c r="G31" s="58">
        <f t="shared" si="3"/>
        <v>96.25</v>
      </c>
      <c r="H31" s="60">
        <v>0.82799999999999996</v>
      </c>
      <c r="I31" s="61">
        <f t="shared" si="0"/>
        <v>11.591999999999999</v>
      </c>
      <c r="J31" s="59">
        <f t="shared" si="1"/>
        <v>1115.7299999999998</v>
      </c>
    </row>
    <row r="32" spans="1:11" s="24" customFormat="1" x14ac:dyDescent="0.85">
      <c r="A32" s="41"/>
      <c r="B32" s="74" t="s">
        <v>83</v>
      </c>
      <c r="C32" s="43">
        <v>1</v>
      </c>
      <c r="D32" s="42" t="s">
        <v>49</v>
      </c>
      <c r="E32" s="58">
        <f>(10/8)*E23</f>
        <v>475.99999999999994</v>
      </c>
      <c r="F32" s="59">
        <f>+C32*E32</f>
        <v>475.99999999999994</v>
      </c>
      <c r="G32" s="58">
        <f>$G$21</f>
        <v>96.25</v>
      </c>
      <c r="H32" s="60">
        <v>5.3330000000000002</v>
      </c>
      <c r="I32" s="61">
        <f>C32*H32</f>
        <v>5.3330000000000002</v>
      </c>
      <c r="J32" s="59">
        <f>+G32*I32</f>
        <v>513.30124999999998</v>
      </c>
      <c r="K32" s="81"/>
    </row>
    <row r="33" spans="1:11" s="24" customFormat="1" x14ac:dyDescent="0.85">
      <c r="A33" s="41"/>
      <c r="B33" s="42" t="s">
        <v>47</v>
      </c>
      <c r="C33" s="43">
        <v>1</v>
      </c>
      <c r="D33" s="42" t="s">
        <v>49</v>
      </c>
      <c r="E33" s="84" t="s">
        <v>56</v>
      </c>
      <c r="F33" s="85"/>
      <c r="G33" s="86" t="s">
        <v>56</v>
      </c>
      <c r="H33" s="87"/>
      <c r="I33" s="61">
        <f>C33*H33</f>
        <v>0</v>
      </c>
      <c r="J33" s="59">
        <f>+G33*I33</f>
        <v>0</v>
      </c>
      <c r="K33" s="81"/>
    </row>
    <row r="34" spans="1:11" s="24" customFormat="1" x14ac:dyDescent="0.85">
      <c r="A34" s="41"/>
      <c r="B34" s="42" t="s">
        <v>51</v>
      </c>
      <c r="C34" s="43">
        <v>1</v>
      </c>
      <c r="D34" s="42" t="s">
        <v>49</v>
      </c>
      <c r="E34" s="58">
        <v>850</v>
      </c>
      <c r="F34" s="59">
        <f t="shared" si="2"/>
        <v>850</v>
      </c>
      <c r="G34" s="58">
        <f t="shared" si="3"/>
        <v>96.25</v>
      </c>
      <c r="H34" s="60">
        <v>12</v>
      </c>
      <c r="I34" s="61">
        <f t="shared" si="0"/>
        <v>12</v>
      </c>
      <c r="J34" s="59">
        <f t="shared" si="1"/>
        <v>1155</v>
      </c>
    </row>
    <row r="35" spans="1:11" s="24" customFormat="1" x14ac:dyDescent="0.85">
      <c r="A35" s="41"/>
      <c r="B35" s="74" t="s">
        <v>65</v>
      </c>
      <c r="C35" s="43">
        <v>3</v>
      </c>
      <c r="D35" s="74" t="s">
        <v>52</v>
      </c>
      <c r="E35" s="58">
        <v>89.5</v>
      </c>
      <c r="F35" s="59">
        <f t="shared" si="2"/>
        <v>268.5</v>
      </c>
      <c r="G35" s="58">
        <f t="shared" si="3"/>
        <v>96.25</v>
      </c>
      <c r="H35" s="60">
        <v>1</v>
      </c>
      <c r="I35" s="61">
        <f t="shared" si="0"/>
        <v>3</v>
      </c>
      <c r="J35" s="59">
        <f t="shared" si="1"/>
        <v>288.75</v>
      </c>
    </row>
    <row r="36" spans="1:11" s="24" customFormat="1" x14ac:dyDescent="0.85">
      <c r="A36" s="41"/>
      <c r="B36" s="74" t="s">
        <v>84</v>
      </c>
      <c r="C36" s="43">
        <v>2</v>
      </c>
      <c r="D36" s="42" t="s">
        <v>49</v>
      </c>
      <c r="E36" s="58">
        <v>283</v>
      </c>
      <c r="F36" s="59">
        <f t="shared" si="2"/>
        <v>566</v>
      </c>
      <c r="G36" s="58">
        <f t="shared" si="3"/>
        <v>96.25</v>
      </c>
      <c r="H36" s="60">
        <v>6</v>
      </c>
      <c r="I36" s="61">
        <f t="shared" si="0"/>
        <v>12</v>
      </c>
      <c r="J36" s="59">
        <f t="shared" si="1"/>
        <v>1155</v>
      </c>
    </row>
    <row r="37" spans="1:11" s="24" customFormat="1" x14ac:dyDescent="0.85">
      <c r="A37" s="41"/>
      <c r="B37" s="74" t="s">
        <v>85</v>
      </c>
      <c r="C37" s="43">
        <v>1</v>
      </c>
      <c r="D37" s="42" t="s">
        <v>49</v>
      </c>
      <c r="E37" s="58">
        <v>283</v>
      </c>
      <c r="F37" s="59">
        <f>+C37*E37</f>
        <v>283</v>
      </c>
      <c r="G37" s="58">
        <f t="shared" si="3"/>
        <v>96.25</v>
      </c>
      <c r="H37" s="60">
        <v>6</v>
      </c>
      <c r="I37" s="61">
        <f>C37*H37</f>
        <v>6</v>
      </c>
      <c r="J37" s="59">
        <f>+G37*I37</f>
        <v>577.5</v>
      </c>
      <c r="K37" s="81"/>
    </row>
    <row r="38" spans="1:11" s="24" customFormat="1" x14ac:dyDescent="0.85">
      <c r="A38" s="41"/>
      <c r="B38" s="42" t="s">
        <v>57</v>
      </c>
      <c r="C38" s="43">
        <f>C36</f>
        <v>2</v>
      </c>
      <c r="D38" s="42" t="s">
        <v>49</v>
      </c>
      <c r="E38" s="58">
        <f>H16*16.2</f>
        <v>0</v>
      </c>
      <c r="F38" s="59">
        <f>+C38*E38</f>
        <v>0</v>
      </c>
      <c r="G38" s="58">
        <f t="shared" si="3"/>
        <v>96.25</v>
      </c>
      <c r="H38" s="60">
        <v>1.6</v>
      </c>
      <c r="I38" s="61">
        <f>C38*H38</f>
        <v>3.2</v>
      </c>
      <c r="J38" s="59">
        <f>+G38*I38</f>
        <v>308</v>
      </c>
      <c r="K38" s="81"/>
    </row>
    <row r="39" spans="1:11" s="24" customFormat="1" x14ac:dyDescent="0.85">
      <c r="A39" s="41"/>
      <c r="B39" s="42" t="s">
        <v>35</v>
      </c>
      <c r="C39" s="43">
        <v>2</v>
      </c>
      <c r="D39" s="42" t="s">
        <v>49</v>
      </c>
      <c r="E39" s="58">
        <f>10.3*H9</f>
        <v>12.257</v>
      </c>
      <c r="F39" s="59">
        <f t="shared" si="2"/>
        <v>24.513999999999999</v>
      </c>
      <c r="G39" s="58">
        <f t="shared" si="3"/>
        <v>96.25</v>
      </c>
      <c r="H39" s="60">
        <v>0.33300000000000002</v>
      </c>
      <c r="I39" s="61">
        <f t="shared" si="0"/>
        <v>0.66600000000000004</v>
      </c>
      <c r="J39" s="59">
        <f t="shared" si="1"/>
        <v>64.102500000000006</v>
      </c>
    </row>
    <row r="40" spans="1:11" s="24" customFormat="1" x14ac:dyDescent="0.85">
      <c r="A40" s="41"/>
      <c r="B40" s="42" t="s">
        <v>36</v>
      </c>
      <c r="C40" s="43">
        <v>2</v>
      </c>
      <c r="D40" s="42" t="s">
        <v>49</v>
      </c>
      <c r="E40" s="58">
        <f>16.95*H9</f>
        <v>20.170499999999997</v>
      </c>
      <c r="F40" s="59">
        <f t="shared" si="2"/>
        <v>40.340999999999994</v>
      </c>
      <c r="G40" s="58">
        <f t="shared" si="3"/>
        <v>96.25</v>
      </c>
      <c r="H40" s="60">
        <v>0.4</v>
      </c>
      <c r="I40" s="61">
        <f t="shared" si="0"/>
        <v>0.8</v>
      </c>
      <c r="J40" s="59">
        <f t="shared" si="1"/>
        <v>77</v>
      </c>
    </row>
    <row r="41" spans="1:11" s="24" customFormat="1" x14ac:dyDescent="0.85">
      <c r="A41" s="41"/>
      <c r="B41" s="42" t="s">
        <v>37</v>
      </c>
      <c r="C41" s="43">
        <v>2</v>
      </c>
      <c r="D41" s="42" t="s">
        <v>49</v>
      </c>
      <c r="E41" s="58">
        <f>167*H9</f>
        <v>198.73</v>
      </c>
      <c r="F41" s="59">
        <f t="shared" si="2"/>
        <v>397.46</v>
      </c>
      <c r="G41" s="58">
        <f t="shared" si="3"/>
        <v>96.25</v>
      </c>
      <c r="H41" s="60">
        <v>0.25</v>
      </c>
      <c r="I41" s="61">
        <f t="shared" si="0"/>
        <v>0.5</v>
      </c>
      <c r="J41" s="59">
        <f t="shared" si="1"/>
        <v>48.125</v>
      </c>
    </row>
    <row r="42" spans="1:11" s="24" customFormat="1" x14ac:dyDescent="0.85">
      <c r="A42" s="41"/>
      <c r="B42" s="74" t="s">
        <v>66</v>
      </c>
      <c r="C42" s="43">
        <f>C31</f>
        <v>14</v>
      </c>
      <c r="D42" s="42" t="s">
        <v>52</v>
      </c>
      <c r="E42" s="58">
        <v>3.85</v>
      </c>
      <c r="F42" s="59">
        <f t="shared" si="2"/>
        <v>53.9</v>
      </c>
      <c r="G42" s="58">
        <f>0.886*G41</f>
        <v>85.277500000000003</v>
      </c>
      <c r="H42" s="60">
        <v>0.16</v>
      </c>
      <c r="I42" s="61">
        <f t="shared" si="0"/>
        <v>2.2400000000000002</v>
      </c>
      <c r="J42" s="59">
        <f t="shared" si="1"/>
        <v>191.02160000000003</v>
      </c>
    </row>
    <row r="43" spans="1:11" s="24" customFormat="1" x14ac:dyDescent="0.85">
      <c r="A43" s="41"/>
      <c r="B43" s="42" t="s">
        <v>61</v>
      </c>
      <c r="C43" s="43">
        <v>20</v>
      </c>
      <c r="D43" s="42" t="s">
        <v>58</v>
      </c>
      <c r="E43" s="58">
        <v>4.24</v>
      </c>
      <c r="F43" s="59">
        <f>+C43*E43</f>
        <v>84.800000000000011</v>
      </c>
      <c r="G43" s="58">
        <f>$G$42</f>
        <v>85.277500000000003</v>
      </c>
      <c r="H43" s="60">
        <f>4*0.042</f>
        <v>0.16800000000000001</v>
      </c>
      <c r="I43" s="61">
        <f>C43*H43</f>
        <v>3.3600000000000003</v>
      </c>
      <c r="J43" s="59">
        <f>+G43*I43</f>
        <v>286.53240000000005</v>
      </c>
    </row>
    <row r="44" spans="1:11" s="24" customFormat="1" x14ac:dyDescent="0.85">
      <c r="A44" s="41"/>
      <c r="B44" s="42" t="s">
        <v>59</v>
      </c>
      <c r="C44" s="43">
        <f>C27</f>
        <v>18</v>
      </c>
      <c r="D44" s="42" t="s">
        <v>49</v>
      </c>
      <c r="E44" s="58">
        <f>4*E42</f>
        <v>15.4</v>
      </c>
      <c r="F44" s="59">
        <f t="shared" si="2"/>
        <v>277.2</v>
      </c>
      <c r="G44" s="58">
        <f>$G$42</f>
        <v>85.277500000000003</v>
      </c>
      <c r="H44" s="60">
        <f>4*H42</f>
        <v>0.64</v>
      </c>
      <c r="I44" s="61">
        <f t="shared" si="0"/>
        <v>11.52</v>
      </c>
      <c r="J44" s="59">
        <f t="shared" si="1"/>
        <v>982.39679999999998</v>
      </c>
    </row>
    <row r="45" spans="1:11" s="24" customFormat="1" x14ac:dyDescent="0.85">
      <c r="A45" s="41"/>
      <c r="B45" s="42" t="s">
        <v>60</v>
      </c>
      <c r="C45" s="43">
        <f>C25+C26+C23+C32</f>
        <v>8</v>
      </c>
      <c r="D45" s="42" t="s">
        <v>49</v>
      </c>
      <c r="E45" s="58">
        <f>E44</f>
        <v>15.4</v>
      </c>
      <c r="F45" s="59">
        <f t="shared" si="2"/>
        <v>123.2</v>
      </c>
      <c r="G45" s="58">
        <f>$G$42</f>
        <v>85.277500000000003</v>
      </c>
      <c r="H45" s="60">
        <f>H44</f>
        <v>0.64</v>
      </c>
      <c r="I45" s="61">
        <f t="shared" si="0"/>
        <v>5.12</v>
      </c>
      <c r="J45" s="59">
        <f t="shared" si="1"/>
        <v>436.62080000000003</v>
      </c>
    </row>
    <row r="46" spans="1:11" s="24" customFormat="1" x14ac:dyDescent="0.85">
      <c r="A46" s="41"/>
      <c r="B46" s="42" t="s">
        <v>53</v>
      </c>
      <c r="C46" s="43">
        <f>C35</f>
        <v>3</v>
      </c>
      <c r="D46" s="42" t="s">
        <v>49</v>
      </c>
      <c r="E46" s="58">
        <f>3*E42</f>
        <v>11.55</v>
      </c>
      <c r="F46" s="59">
        <f t="shared" si="2"/>
        <v>34.650000000000006</v>
      </c>
      <c r="G46" s="58">
        <f>$G$42</f>
        <v>85.277500000000003</v>
      </c>
      <c r="H46" s="60">
        <f>3*H42</f>
        <v>0.48</v>
      </c>
      <c r="I46" s="61">
        <f t="shared" si="0"/>
        <v>1.44</v>
      </c>
      <c r="J46" s="59">
        <f t="shared" si="1"/>
        <v>122.7996</v>
      </c>
    </row>
    <row r="47" spans="1:11" s="24" customFormat="1" x14ac:dyDescent="0.85">
      <c r="A47" s="41"/>
      <c r="B47" s="42" t="s">
        <v>54</v>
      </c>
      <c r="C47" s="43">
        <f>C34</f>
        <v>1</v>
      </c>
      <c r="D47" s="42" t="s">
        <v>49</v>
      </c>
      <c r="E47" s="58">
        <f>3*5.15</f>
        <v>15.450000000000001</v>
      </c>
      <c r="F47" s="59">
        <f t="shared" si="2"/>
        <v>15.450000000000001</v>
      </c>
      <c r="G47" s="58">
        <f>$G$42</f>
        <v>85.277500000000003</v>
      </c>
      <c r="H47" s="60">
        <f>3*0.2</f>
        <v>0.60000000000000009</v>
      </c>
      <c r="I47" s="61">
        <f t="shared" si="0"/>
        <v>0.60000000000000009</v>
      </c>
      <c r="J47" s="59">
        <f t="shared" si="1"/>
        <v>51.166500000000006</v>
      </c>
    </row>
    <row r="48" spans="1:11" s="24" customFormat="1" x14ac:dyDescent="0.85">
      <c r="A48" s="41"/>
      <c r="B48" s="74" t="s">
        <v>67</v>
      </c>
      <c r="C48" s="43">
        <f>C36</f>
        <v>2</v>
      </c>
      <c r="D48" s="42" t="s">
        <v>52</v>
      </c>
      <c r="E48" s="58">
        <v>4.09</v>
      </c>
      <c r="F48" s="59">
        <f t="shared" si="2"/>
        <v>8.18</v>
      </c>
      <c r="G48" s="58">
        <f>G47</f>
        <v>85.277500000000003</v>
      </c>
      <c r="H48" s="60">
        <v>0.17799999999999999</v>
      </c>
      <c r="I48" s="61">
        <f t="shared" si="0"/>
        <v>0.35599999999999998</v>
      </c>
      <c r="J48" s="59">
        <f t="shared" si="1"/>
        <v>30.358789999999999</v>
      </c>
    </row>
    <row r="49" spans="1:11" s="24" customFormat="1" x14ac:dyDescent="0.85">
      <c r="A49" s="41"/>
      <c r="B49" s="74" t="s">
        <v>81</v>
      </c>
      <c r="C49" s="43">
        <v>3</v>
      </c>
      <c r="D49" s="74" t="s">
        <v>49</v>
      </c>
      <c r="E49" s="58">
        <v>100</v>
      </c>
      <c r="F49" s="59">
        <f>+C49*E49</f>
        <v>300</v>
      </c>
      <c r="G49" s="58">
        <f>$G$21</f>
        <v>96.25</v>
      </c>
      <c r="H49" s="60">
        <v>4</v>
      </c>
      <c r="I49" s="61">
        <f>C49*H49</f>
        <v>12</v>
      </c>
      <c r="J49" s="59">
        <f>+G49*I49</f>
        <v>1155</v>
      </c>
    </row>
    <row r="50" spans="1:11" s="24" customFormat="1" x14ac:dyDescent="0.85">
      <c r="A50" s="41"/>
      <c r="B50" s="74" t="s">
        <v>68</v>
      </c>
      <c r="C50" s="43">
        <v>1</v>
      </c>
      <c r="D50" s="74" t="s">
        <v>55</v>
      </c>
      <c r="E50" s="58">
        <v>0</v>
      </c>
      <c r="F50" s="59">
        <f t="shared" si="2"/>
        <v>0</v>
      </c>
      <c r="G50" s="58">
        <f>G41</f>
        <v>96.25</v>
      </c>
      <c r="H50" s="60">
        <v>4</v>
      </c>
      <c r="I50" s="61">
        <f t="shared" si="0"/>
        <v>4</v>
      </c>
      <c r="J50" s="59">
        <f t="shared" si="1"/>
        <v>385</v>
      </c>
    </row>
    <row r="51" spans="1:11" s="24" customFormat="1" x14ac:dyDescent="0.85">
      <c r="A51" s="41"/>
      <c r="B51" s="42" t="s">
        <v>38</v>
      </c>
      <c r="C51" s="43">
        <v>50</v>
      </c>
      <c r="D51" s="42" t="s">
        <v>52</v>
      </c>
      <c r="E51" s="58">
        <v>3.66</v>
      </c>
      <c r="F51" s="59">
        <f t="shared" si="2"/>
        <v>183</v>
      </c>
      <c r="G51" s="75">
        <f>54.5*H11</f>
        <v>86.655000000000001</v>
      </c>
      <c r="H51" s="60">
        <v>0.123</v>
      </c>
      <c r="I51" s="61">
        <f t="shared" si="0"/>
        <v>6.15</v>
      </c>
      <c r="J51" s="59">
        <f t="shared" si="1"/>
        <v>532.92825000000005</v>
      </c>
    </row>
    <row r="52" spans="1:11" s="24" customFormat="1" x14ac:dyDescent="0.85">
      <c r="A52" s="41"/>
      <c r="B52" s="42" t="s">
        <v>39</v>
      </c>
      <c r="C52" s="43">
        <f>4*C51</f>
        <v>200</v>
      </c>
      <c r="D52" s="42" t="s">
        <v>52</v>
      </c>
      <c r="E52" s="58">
        <f>(40.5/100)*H9</f>
        <v>0.48194999999999999</v>
      </c>
      <c r="F52" s="59">
        <f t="shared" si="2"/>
        <v>96.39</v>
      </c>
      <c r="G52" s="58">
        <f>$G$51</f>
        <v>86.655000000000001</v>
      </c>
      <c r="H52" s="60">
        <f>1/100</f>
        <v>0.01</v>
      </c>
      <c r="I52" s="61">
        <f t="shared" si="0"/>
        <v>2</v>
      </c>
      <c r="J52" s="59">
        <f t="shared" si="1"/>
        <v>173.31</v>
      </c>
    </row>
    <row r="53" spans="1:11" s="24" customFormat="1" x14ac:dyDescent="0.85">
      <c r="A53" s="41"/>
      <c r="B53" s="42" t="s">
        <v>41</v>
      </c>
      <c r="C53" s="43">
        <v>2</v>
      </c>
      <c r="D53" s="42" t="s">
        <v>49</v>
      </c>
      <c r="E53" s="58">
        <f>26*H9</f>
        <v>30.939999999999998</v>
      </c>
      <c r="F53" s="59">
        <f t="shared" si="2"/>
        <v>61.879999999999995</v>
      </c>
      <c r="G53" s="58">
        <f>$G$51</f>
        <v>86.655000000000001</v>
      </c>
      <c r="H53" s="60">
        <v>1.4450000000000001</v>
      </c>
      <c r="I53" s="61">
        <f t="shared" si="0"/>
        <v>2.89</v>
      </c>
      <c r="J53" s="59">
        <f t="shared" si="1"/>
        <v>250.43295000000001</v>
      </c>
    </row>
    <row r="54" spans="1:11" s="24" customFormat="1" x14ac:dyDescent="0.85">
      <c r="A54" s="41"/>
      <c r="B54" s="74" t="s">
        <v>82</v>
      </c>
      <c r="C54" s="43">
        <v>5</v>
      </c>
      <c r="D54" s="74" t="s">
        <v>49</v>
      </c>
      <c r="E54" s="58">
        <v>100</v>
      </c>
      <c r="F54" s="59">
        <f t="shared" si="2"/>
        <v>500</v>
      </c>
      <c r="G54" s="58">
        <f>$G$51</f>
        <v>86.655000000000001</v>
      </c>
      <c r="H54" s="60">
        <v>4</v>
      </c>
      <c r="I54" s="61">
        <f t="shared" si="0"/>
        <v>20</v>
      </c>
      <c r="J54" s="59">
        <f t="shared" si="1"/>
        <v>1733.1</v>
      </c>
    </row>
    <row r="55" spans="1:11" s="24" customFormat="1" x14ac:dyDescent="0.85">
      <c r="A55" s="41"/>
      <c r="B55" s="74" t="s">
        <v>93</v>
      </c>
      <c r="C55" s="43">
        <v>1</v>
      </c>
      <c r="D55" s="42" t="s">
        <v>49</v>
      </c>
      <c r="E55" s="58">
        <v>1143</v>
      </c>
      <c r="F55" s="59">
        <f t="shared" si="2"/>
        <v>1143</v>
      </c>
      <c r="G55" s="58">
        <f>$G$51</f>
        <v>86.655000000000001</v>
      </c>
      <c r="H55" s="60">
        <v>8</v>
      </c>
      <c r="I55" s="61">
        <f t="shared" si="0"/>
        <v>8</v>
      </c>
      <c r="J55" s="59">
        <f t="shared" si="1"/>
        <v>693.24</v>
      </c>
      <c r="K55" s="81"/>
    </row>
    <row r="56" spans="1:11" s="24" customFormat="1" x14ac:dyDescent="0.85">
      <c r="A56" s="41"/>
      <c r="B56" s="42" t="s">
        <v>40</v>
      </c>
      <c r="C56" s="43">
        <v>1</v>
      </c>
      <c r="D56" s="42" t="s">
        <v>49</v>
      </c>
      <c r="E56" s="58">
        <f>1100*H9</f>
        <v>1309</v>
      </c>
      <c r="F56" s="59">
        <f t="shared" si="2"/>
        <v>1309</v>
      </c>
      <c r="G56" s="58">
        <f>$G$51</f>
        <v>86.655000000000001</v>
      </c>
      <c r="H56" s="60">
        <v>2</v>
      </c>
      <c r="I56" s="61">
        <f t="shared" si="0"/>
        <v>2</v>
      </c>
      <c r="J56" s="59">
        <f t="shared" si="1"/>
        <v>173.31</v>
      </c>
    </row>
    <row r="57" spans="1:11" s="24" customFormat="1" x14ac:dyDescent="0.85">
      <c r="A57" s="41"/>
      <c r="B57" s="42" t="s">
        <v>44</v>
      </c>
      <c r="C57" s="43">
        <v>1</v>
      </c>
      <c r="D57" s="42" t="s">
        <v>49</v>
      </c>
      <c r="E57" s="58">
        <f>67+83</f>
        <v>150</v>
      </c>
      <c r="F57" s="59">
        <f t="shared" si="2"/>
        <v>150</v>
      </c>
      <c r="G57" s="58">
        <f>(60.5/1.6)*H12</f>
        <v>47.643749999999997</v>
      </c>
      <c r="H57" s="60">
        <v>4</v>
      </c>
      <c r="I57" s="61">
        <f t="shared" si="0"/>
        <v>4</v>
      </c>
      <c r="J57" s="59">
        <f t="shared" si="1"/>
        <v>190.57499999999999</v>
      </c>
    </row>
    <row r="58" spans="1:11" s="24" customFormat="1" x14ac:dyDescent="0.85">
      <c r="A58" s="41"/>
      <c r="B58" s="74" t="s">
        <v>79</v>
      </c>
      <c r="C58" s="43">
        <v>1</v>
      </c>
      <c r="D58" s="74" t="s">
        <v>55</v>
      </c>
      <c r="E58" s="58">
        <v>100</v>
      </c>
      <c r="F58" s="59">
        <f t="shared" si="2"/>
        <v>100</v>
      </c>
      <c r="G58" s="58">
        <f>G57</f>
        <v>47.643749999999997</v>
      </c>
      <c r="H58" s="60">
        <v>8</v>
      </c>
      <c r="I58" s="61">
        <f t="shared" si="0"/>
        <v>8</v>
      </c>
      <c r="J58" s="59">
        <f t="shared" si="1"/>
        <v>381.15</v>
      </c>
    </row>
    <row r="59" spans="1:11" s="24" customFormat="1" x14ac:dyDescent="0.85">
      <c r="A59" s="41"/>
      <c r="B59" s="74" t="s">
        <v>92</v>
      </c>
      <c r="C59" s="43">
        <v>1</v>
      </c>
      <c r="D59" s="74" t="s">
        <v>55</v>
      </c>
      <c r="E59" s="58">
        <v>100</v>
      </c>
      <c r="F59" s="59">
        <f>+C59*E59</f>
        <v>100</v>
      </c>
      <c r="G59" s="58">
        <f>G58</f>
        <v>47.643749999999997</v>
      </c>
      <c r="H59" s="60">
        <v>1</v>
      </c>
      <c r="I59" s="61">
        <f t="shared" si="0"/>
        <v>1</v>
      </c>
      <c r="J59" s="59">
        <f>+G59*I59</f>
        <v>47.643749999999997</v>
      </c>
    </row>
    <row r="60" spans="1:11" s="24" customFormat="1" x14ac:dyDescent="0.85">
      <c r="A60" s="41"/>
      <c r="B60" s="42" t="s">
        <v>45</v>
      </c>
      <c r="C60" s="43">
        <v>1</v>
      </c>
      <c r="D60" s="42" t="s">
        <v>49</v>
      </c>
      <c r="E60" s="58">
        <f>0.5*E57</f>
        <v>75</v>
      </c>
      <c r="F60" s="59">
        <f t="shared" si="2"/>
        <v>75</v>
      </c>
      <c r="G60" s="58">
        <f>G58</f>
        <v>47.643749999999997</v>
      </c>
      <c r="H60" s="60">
        <f>H57</f>
        <v>4</v>
      </c>
      <c r="I60" s="61">
        <f t="shared" si="0"/>
        <v>4</v>
      </c>
      <c r="J60" s="59">
        <f t="shared" si="1"/>
        <v>190.57499999999999</v>
      </c>
    </row>
    <row r="61" spans="1:11" s="24" customFormat="1" x14ac:dyDescent="0.85">
      <c r="A61" s="41"/>
      <c r="B61" s="42" t="s">
        <v>43</v>
      </c>
      <c r="C61" s="43">
        <v>1</v>
      </c>
      <c r="D61" s="42" t="s">
        <v>49</v>
      </c>
      <c r="E61" s="58">
        <v>25</v>
      </c>
      <c r="F61" s="59">
        <f t="shared" si="2"/>
        <v>25</v>
      </c>
      <c r="G61" s="58">
        <f>G21</f>
        <v>96.25</v>
      </c>
      <c r="H61" s="60">
        <f>2</f>
        <v>2</v>
      </c>
      <c r="I61" s="61">
        <f t="shared" si="0"/>
        <v>2</v>
      </c>
      <c r="J61" s="59">
        <f t="shared" si="1"/>
        <v>192.5</v>
      </c>
    </row>
    <row r="62" spans="1:11" s="24" customFormat="1" x14ac:dyDescent="0.85">
      <c r="A62" s="41"/>
      <c r="B62" s="42" t="s">
        <v>62</v>
      </c>
      <c r="C62" s="43">
        <v>1</v>
      </c>
      <c r="D62" s="42" t="s">
        <v>49</v>
      </c>
      <c r="E62" s="58">
        <v>1000</v>
      </c>
      <c r="F62" s="59">
        <f t="shared" si="2"/>
        <v>1000</v>
      </c>
      <c r="G62" s="86" t="s">
        <v>64</v>
      </c>
      <c r="H62" s="87"/>
      <c r="I62" s="61">
        <f t="shared" ref="I62:I67" si="4">C62*H62</f>
        <v>0</v>
      </c>
      <c r="J62" s="59">
        <f t="shared" si="1"/>
        <v>0</v>
      </c>
    </row>
    <row r="63" spans="1:11" s="24" customFormat="1" x14ac:dyDescent="0.85">
      <c r="A63" s="41"/>
      <c r="B63" s="42" t="s">
        <v>63</v>
      </c>
      <c r="C63" s="43">
        <v>1</v>
      </c>
      <c r="D63" s="42" t="s">
        <v>49</v>
      </c>
      <c r="E63" s="58">
        <v>1000</v>
      </c>
      <c r="F63" s="59">
        <f t="shared" si="2"/>
        <v>1000</v>
      </c>
      <c r="G63" s="86" t="s">
        <v>64</v>
      </c>
      <c r="H63" s="87"/>
      <c r="I63" s="61">
        <f t="shared" si="4"/>
        <v>0</v>
      </c>
      <c r="J63" s="59">
        <f t="shared" si="1"/>
        <v>0</v>
      </c>
    </row>
    <row r="64" spans="1:11" s="24" customFormat="1" x14ac:dyDescent="0.85">
      <c r="A64" s="41"/>
      <c r="B64" s="74" t="s">
        <v>88</v>
      </c>
      <c r="C64" s="43">
        <v>1</v>
      </c>
      <c r="D64" s="42" t="s">
        <v>49</v>
      </c>
      <c r="E64" s="58">
        <v>0</v>
      </c>
      <c r="F64" s="59">
        <f t="shared" si="2"/>
        <v>0</v>
      </c>
      <c r="G64" s="58">
        <v>150</v>
      </c>
      <c r="H64" s="60">
        <v>24</v>
      </c>
      <c r="I64" s="61">
        <f t="shared" si="4"/>
        <v>24</v>
      </c>
      <c r="J64" s="59">
        <f t="shared" si="1"/>
        <v>3600</v>
      </c>
      <c r="K64" s="81"/>
    </row>
    <row r="65" spans="1:11" s="24" customFormat="1" x14ac:dyDescent="0.85">
      <c r="A65" s="41"/>
      <c r="B65" s="74" t="s">
        <v>89</v>
      </c>
      <c r="C65" s="43">
        <v>1</v>
      </c>
      <c r="D65" s="42" t="s">
        <v>49</v>
      </c>
      <c r="E65" s="58">
        <v>150</v>
      </c>
      <c r="F65" s="59">
        <f t="shared" si="2"/>
        <v>150</v>
      </c>
      <c r="G65" s="58">
        <f>G61</f>
        <v>96.25</v>
      </c>
      <c r="H65" s="60">
        <v>8</v>
      </c>
      <c r="I65" s="61">
        <f t="shared" si="4"/>
        <v>8</v>
      </c>
      <c r="J65" s="59">
        <f t="shared" si="1"/>
        <v>770</v>
      </c>
      <c r="K65" s="81"/>
    </row>
    <row r="66" spans="1:11" s="24" customFormat="1" x14ac:dyDescent="0.85">
      <c r="A66" s="41"/>
      <c r="B66" s="74" t="s">
        <v>90</v>
      </c>
      <c r="C66" s="43">
        <v>1</v>
      </c>
      <c r="D66" s="42" t="s">
        <v>49</v>
      </c>
      <c r="E66" s="58">
        <v>100</v>
      </c>
      <c r="F66" s="59">
        <f>+C66*E66</f>
        <v>100</v>
      </c>
      <c r="G66" s="98" t="s">
        <v>91</v>
      </c>
      <c r="H66" s="87"/>
      <c r="I66" s="61">
        <f t="shared" si="4"/>
        <v>0</v>
      </c>
      <c r="J66" s="59">
        <f>+G66*I66</f>
        <v>0</v>
      </c>
      <c r="K66" s="81"/>
    </row>
    <row r="67" spans="1:11" s="24" customFormat="1" x14ac:dyDescent="0.85">
      <c r="A67" s="41"/>
      <c r="B67" s="42" t="s">
        <v>46</v>
      </c>
      <c r="C67" s="43">
        <v>1</v>
      </c>
      <c r="D67" s="42" t="s">
        <v>55</v>
      </c>
      <c r="E67" s="58">
        <v>0</v>
      </c>
      <c r="F67" s="59">
        <f t="shared" si="2"/>
        <v>0</v>
      </c>
      <c r="G67" s="58">
        <v>165</v>
      </c>
      <c r="H67" s="60">
        <v>2</v>
      </c>
      <c r="I67" s="61">
        <f t="shared" si="4"/>
        <v>2</v>
      </c>
      <c r="J67" s="59">
        <f t="shared" si="1"/>
        <v>330</v>
      </c>
    </row>
    <row r="68" spans="1:11" s="24" customFormat="1" x14ac:dyDescent="0.85">
      <c r="A68" s="41"/>
      <c r="B68" s="74" t="s">
        <v>70</v>
      </c>
      <c r="C68" s="43">
        <v>1</v>
      </c>
      <c r="D68" s="42" t="s">
        <v>55</v>
      </c>
      <c r="E68" s="58">
        <v>0</v>
      </c>
      <c r="F68" s="59">
        <f t="shared" si="2"/>
        <v>0</v>
      </c>
      <c r="G68" s="58">
        <v>165</v>
      </c>
      <c r="H68" s="60">
        <v>4</v>
      </c>
      <c r="I68" s="61">
        <f t="shared" si="0"/>
        <v>4</v>
      </c>
      <c r="J68" s="59">
        <f t="shared" si="1"/>
        <v>660</v>
      </c>
    </row>
    <row r="69" spans="1:11" s="24" customFormat="1" x14ac:dyDescent="0.85">
      <c r="A69" s="41"/>
      <c r="B69" s="42"/>
      <c r="C69" s="43"/>
      <c r="D69" s="42"/>
      <c r="E69" s="58"/>
      <c r="F69" s="59">
        <f t="shared" si="2"/>
        <v>0</v>
      </c>
      <c r="G69" s="58"/>
      <c r="H69" s="60"/>
      <c r="I69" s="61">
        <f t="shared" si="0"/>
        <v>0</v>
      </c>
      <c r="J69" s="59">
        <f t="shared" si="1"/>
        <v>0</v>
      </c>
    </row>
    <row r="70" spans="1:11" s="24" customFormat="1" ht="18.600000000000001" thickBot="1" x14ac:dyDescent="0.9">
      <c r="A70" s="94" t="s">
        <v>24</v>
      </c>
      <c r="B70" s="95"/>
      <c r="C70" s="44"/>
      <c r="D70" s="45"/>
      <c r="E70" s="62"/>
      <c r="F70" s="63">
        <f>SUM(F21:F69)</f>
        <v>33207.389000000003</v>
      </c>
      <c r="G70" s="64"/>
      <c r="H70" s="65"/>
      <c r="I70" s="66">
        <f>SUM(I21:I69)</f>
        <v>396.55700000000002</v>
      </c>
      <c r="J70" s="63">
        <f>SUM(J21:J69)</f>
        <v>38380.707689999996</v>
      </c>
    </row>
    <row r="71" spans="1:11" s="24" customFormat="1" ht="18" x14ac:dyDescent="0.4">
      <c r="A71" s="96" t="s">
        <v>29</v>
      </c>
      <c r="B71" s="97"/>
      <c r="C71" s="46"/>
      <c r="D71" s="47"/>
      <c r="E71" s="67"/>
      <c r="F71" s="67">
        <f>F70+J70</f>
        <v>71588.096690000006</v>
      </c>
      <c r="G71" s="68"/>
      <c r="H71" s="68"/>
      <c r="I71" s="68"/>
      <c r="J71" s="67"/>
    </row>
    <row r="72" spans="1:11" s="24" customFormat="1" ht="18" x14ac:dyDescent="0.4">
      <c r="A72" s="50" t="s">
        <v>13</v>
      </c>
      <c r="B72" s="51"/>
      <c r="C72" s="29">
        <v>0.05</v>
      </c>
      <c r="D72" s="30"/>
      <c r="E72" s="69"/>
      <c r="F72" s="69">
        <f>+C72*F70</f>
        <v>1660.3694500000001</v>
      </c>
      <c r="G72" s="70"/>
      <c r="H72" s="70"/>
      <c r="I72" s="70"/>
      <c r="J72" s="69"/>
    </row>
    <row r="73" spans="1:11" s="24" customFormat="1" ht="18" x14ac:dyDescent="0.4">
      <c r="A73" s="92" t="s">
        <v>14</v>
      </c>
      <c r="B73" s="93"/>
      <c r="C73" s="29"/>
      <c r="D73" s="30"/>
      <c r="E73" s="69"/>
      <c r="F73" s="69">
        <f>+F72+F70+J70</f>
        <v>73248.466140000004</v>
      </c>
      <c r="G73" s="70"/>
      <c r="H73" s="70"/>
      <c r="I73" s="70"/>
      <c r="J73" s="69"/>
    </row>
    <row r="74" spans="1:11" s="24" customFormat="1" ht="18" x14ac:dyDescent="0.4">
      <c r="A74" s="92" t="s">
        <v>15</v>
      </c>
      <c r="B74" s="93"/>
      <c r="C74" s="29"/>
      <c r="D74" s="30"/>
      <c r="E74" s="69"/>
      <c r="F74" s="69"/>
      <c r="G74" s="70"/>
      <c r="H74" s="70"/>
      <c r="I74" s="70"/>
      <c r="J74" s="69"/>
    </row>
    <row r="75" spans="1:11" s="24" customFormat="1" ht="18" x14ac:dyDescent="0.4">
      <c r="A75" s="48"/>
      <c r="B75" s="31" t="s">
        <v>16</v>
      </c>
      <c r="C75" s="29">
        <v>0</v>
      </c>
      <c r="D75" s="30"/>
      <c r="E75" s="69"/>
      <c r="F75" s="69">
        <f>+(C75)*F73</f>
        <v>0</v>
      </c>
      <c r="G75" s="70"/>
      <c r="H75" s="70"/>
      <c r="I75" s="70"/>
      <c r="J75" s="69"/>
    </row>
    <row r="76" spans="1:11" s="24" customFormat="1" ht="18" x14ac:dyDescent="0.4">
      <c r="A76" s="48"/>
      <c r="B76" s="31" t="s">
        <v>17</v>
      </c>
      <c r="C76" s="29">
        <v>0.03</v>
      </c>
      <c r="D76" s="30"/>
      <c r="E76" s="69"/>
      <c r="F76" s="69">
        <f>+(C76)*(F73+F75)</f>
        <v>2197.4539841999999</v>
      </c>
      <c r="G76" s="70"/>
      <c r="H76" s="70"/>
      <c r="I76" s="70"/>
      <c r="J76" s="69"/>
    </row>
    <row r="77" spans="1:11" s="24" customFormat="1" ht="18" x14ac:dyDescent="0.4">
      <c r="A77" s="92" t="s">
        <v>18</v>
      </c>
      <c r="B77" s="93"/>
      <c r="C77" s="29"/>
      <c r="D77" s="30"/>
      <c r="E77" s="69"/>
      <c r="F77" s="69"/>
      <c r="G77" s="70"/>
      <c r="H77" s="70"/>
      <c r="I77" s="70"/>
      <c r="J77" s="69"/>
    </row>
    <row r="78" spans="1:11" s="24" customFormat="1" ht="18" x14ac:dyDescent="0.4">
      <c r="A78" s="48"/>
      <c r="B78" s="31" t="s">
        <v>19</v>
      </c>
      <c r="C78" s="29">
        <v>0.1</v>
      </c>
      <c r="D78" s="30"/>
      <c r="E78" s="69"/>
      <c r="F78" s="69">
        <f>+(C78)*(F73+F75+F76)</f>
        <v>7544.5920124200002</v>
      </c>
      <c r="G78" s="70"/>
      <c r="H78" s="70"/>
      <c r="I78" s="70"/>
      <c r="J78" s="69"/>
    </row>
    <row r="79" spans="1:11" s="24" customFormat="1" ht="18" x14ac:dyDescent="0.4">
      <c r="A79" s="48"/>
      <c r="B79" s="31" t="s">
        <v>20</v>
      </c>
      <c r="C79" s="29">
        <v>0.05</v>
      </c>
      <c r="D79" s="30"/>
      <c r="E79" s="69"/>
      <c r="F79" s="69">
        <f>+(C79)*(F73+F75+F76+F78)</f>
        <v>4149.525606831</v>
      </c>
      <c r="G79" s="70"/>
      <c r="H79" s="70"/>
      <c r="I79" s="70"/>
      <c r="J79" s="69"/>
    </row>
    <row r="80" spans="1:11" s="24" customFormat="1" ht="18" x14ac:dyDescent="0.4">
      <c r="A80" s="48"/>
      <c r="B80" s="31"/>
      <c r="C80" s="30"/>
      <c r="D80" s="30"/>
      <c r="E80" s="69"/>
      <c r="F80" s="69"/>
      <c r="G80" s="70"/>
      <c r="H80" s="70"/>
      <c r="I80" s="70"/>
      <c r="J80" s="69"/>
    </row>
    <row r="81" spans="1:10" s="24" customFormat="1" ht="18" x14ac:dyDescent="0.4">
      <c r="A81" s="92" t="s">
        <v>31</v>
      </c>
      <c r="B81" s="93"/>
      <c r="C81" s="29">
        <f>F82/F71</f>
        <v>1.217241996540235</v>
      </c>
      <c r="D81" s="30"/>
      <c r="E81" s="69"/>
      <c r="F81" s="69"/>
      <c r="G81" s="70"/>
      <c r="H81" s="70"/>
      <c r="I81" s="70"/>
      <c r="J81" s="69"/>
    </row>
    <row r="82" spans="1:10" s="24" customFormat="1" thickBot="1" x14ac:dyDescent="0.45">
      <c r="A82" s="90" t="s">
        <v>21</v>
      </c>
      <c r="B82" s="91"/>
      <c r="C82" s="49"/>
      <c r="D82" s="49"/>
      <c r="E82" s="71"/>
      <c r="F82" s="71">
        <f>+F73+F75+F76+F78+F79</f>
        <v>87140.037743451001</v>
      </c>
      <c r="G82" s="72"/>
      <c r="H82" s="72"/>
      <c r="I82" s="72"/>
      <c r="J82" s="71"/>
    </row>
    <row r="83" spans="1:10" s="24" customFormat="1" ht="15" customHeight="1" x14ac:dyDescent="0.4">
      <c r="A83" s="32" t="s">
        <v>22</v>
      </c>
      <c r="B83" s="32"/>
      <c r="C83" s="26"/>
      <c r="D83" s="26"/>
      <c r="E83" s="73"/>
      <c r="F83" s="73"/>
      <c r="G83" s="73"/>
      <c r="H83" s="73"/>
      <c r="I83" s="73"/>
      <c r="J83" s="73"/>
    </row>
    <row r="84" spans="1:10" s="24" customFormat="1" ht="15" customHeight="1" x14ac:dyDescent="0.4">
      <c r="A84" s="33">
        <v>1</v>
      </c>
      <c r="B84" s="88"/>
      <c r="C84" s="89"/>
      <c r="D84" s="89"/>
      <c r="E84" s="89"/>
      <c r="F84" s="89"/>
      <c r="G84" s="89"/>
      <c r="H84" s="89"/>
      <c r="I84" s="89"/>
      <c r="J84" s="89"/>
    </row>
    <row r="85" spans="1:10" s="24" customFormat="1" ht="15" customHeight="1" x14ac:dyDescent="0.4">
      <c r="A85" s="33"/>
      <c r="B85" s="88"/>
      <c r="C85" s="89"/>
      <c r="D85" s="89"/>
      <c r="E85" s="89"/>
      <c r="F85" s="89"/>
      <c r="G85" s="89"/>
      <c r="H85" s="89"/>
      <c r="I85" s="89"/>
      <c r="J85" s="89"/>
    </row>
    <row r="86" spans="1:10" s="24" customFormat="1" ht="15" customHeight="1" x14ac:dyDescent="0.4">
      <c r="A86" s="33"/>
      <c r="B86" s="88"/>
      <c r="C86" s="89"/>
      <c r="D86" s="89"/>
      <c r="E86" s="89"/>
      <c r="F86" s="89"/>
      <c r="G86" s="89"/>
      <c r="H86" s="89"/>
      <c r="I86" s="89"/>
      <c r="J86" s="89"/>
    </row>
    <row r="87" spans="1:10" s="24" customFormat="1" ht="15" customHeight="1" x14ac:dyDescent="0.4">
      <c r="A87" s="33"/>
      <c r="B87" s="88"/>
      <c r="C87" s="89"/>
      <c r="D87" s="89"/>
      <c r="E87" s="89"/>
      <c r="F87" s="89"/>
      <c r="G87" s="89"/>
      <c r="H87" s="89"/>
      <c r="I87" s="89"/>
      <c r="J87" s="89"/>
    </row>
    <row r="88" spans="1:10" s="24" customFormat="1" ht="15" customHeight="1" x14ac:dyDescent="0.4">
      <c r="A88" s="33"/>
      <c r="B88" s="88"/>
      <c r="C88" s="89"/>
      <c r="D88" s="89"/>
      <c r="E88" s="89"/>
      <c r="F88" s="89"/>
      <c r="G88" s="89"/>
      <c r="H88" s="89"/>
      <c r="I88" s="89"/>
      <c r="J88" s="89"/>
    </row>
    <row r="89" spans="1:10" s="24" customFormat="1" ht="15" customHeight="1" x14ac:dyDescent="0.4">
      <c r="A89" s="33"/>
      <c r="B89" s="88"/>
      <c r="C89" s="89"/>
      <c r="D89" s="89"/>
      <c r="E89" s="89"/>
      <c r="F89" s="89"/>
      <c r="G89" s="89"/>
      <c r="H89" s="89"/>
      <c r="I89" s="89"/>
      <c r="J89" s="89"/>
    </row>
    <row r="90" spans="1:10" x14ac:dyDescent="0.85">
      <c r="A90" s="34"/>
      <c r="B90" s="35"/>
    </row>
    <row r="91" spans="1:10" x14ac:dyDescent="0.85">
      <c r="A91" s="34"/>
      <c r="B91" s="35"/>
    </row>
    <row r="92" spans="1:10" x14ac:dyDescent="0.85">
      <c r="A92" s="16"/>
    </row>
    <row r="93" spans="1:10" x14ac:dyDescent="0.85">
      <c r="A93" s="16"/>
      <c r="B93" s="17"/>
    </row>
    <row r="94" spans="1:10" x14ac:dyDescent="0.85">
      <c r="A94" s="16"/>
    </row>
    <row r="95" spans="1:10" x14ac:dyDescent="0.85">
      <c r="A95" s="16"/>
      <c r="B95" s="18"/>
    </row>
    <row r="96" spans="1:10" x14ac:dyDescent="0.85">
      <c r="A96" s="16"/>
    </row>
    <row r="97" spans="1:3" x14ac:dyDescent="0.85">
      <c r="A97" s="16"/>
    </row>
    <row r="98" spans="1:3" x14ac:dyDescent="0.85">
      <c r="A98" s="16"/>
    </row>
    <row r="99" spans="1:3" x14ac:dyDescent="0.85">
      <c r="A99" s="16"/>
    </row>
    <row r="100" spans="1:3" x14ac:dyDescent="0.85">
      <c r="A100" s="16"/>
    </row>
    <row r="101" spans="1:3" x14ac:dyDescent="0.85">
      <c r="A101" s="16"/>
    </row>
    <row r="102" spans="1:3" x14ac:dyDescent="0.85">
      <c r="A102" s="16"/>
    </row>
    <row r="103" spans="1:3" x14ac:dyDescent="0.85">
      <c r="A103" s="16"/>
    </row>
    <row r="104" spans="1:3" x14ac:dyDescent="0.85">
      <c r="A104" s="16"/>
    </row>
    <row r="105" spans="1:3" x14ac:dyDescent="0.85">
      <c r="A105" s="16"/>
    </row>
    <row r="106" spans="1:3" x14ac:dyDescent="0.85">
      <c r="A106" s="16"/>
    </row>
    <row r="107" spans="1:3" x14ac:dyDescent="0.85">
      <c r="A107" s="19"/>
    </row>
    <row r="108" spans="1:3" x14ac:dyDescent="0.85">
      <c r="A108" s="16"/>
    </row>
    <row r="109" spans="1:3" x14ac:dyDescent="0.85">
      <c r="A109" s="20"/>
    </row>
    <row r="112" spans="1:3" x14ac:dyDescent="0.85">
      <c r="A112" s="16"/>
      <c r="B112" s="21"/>
      <c r="C112" s="22"/>
    </row>
    <row r="113" spans="1:3" x14ac:dyDescent="0.85">
      <c r="A113" s="16"/>
      <c r="B113" s="21"/>
      <c r="C113" s="22"/>
    </row>
    <row r="114" spans="1:3" x14ac:dyDescent="0.85">
      <c r="A114" s="16"/>
      <c r="B114" s="21"/>
      <c r="C114" s="22"/>
    </row>
    <row r="115" spans="1:3" x14ac:dyDescent="0.85">
      <c r="A115" s="16"/>
      <c r="B115" s="23"/>
      <c r="C115" s="22"/>
    </row>
    <row r="116" spans="1:3" x14ac:dyDescent="0.85">
      <c r="A116" s="16"/>
      <c r="B116" s="21"/>
      <c r="C116" s="22"/>
    </row>
    <row r="117" spans="1:3" x14ac:dyDescent="0.85">
      <c r="A117" s="16"/>
      <c r="C117" s="22"/>
    </row>
    <row r="118" spans="1:3" x14ac:dyDescent="0.85">
      <c r="A118" s="16"/>
      <c r="C118" s="22"/>
    </row>
  </sheetData>
  <mergeCells count="30">
    <mergeCell ref="G66:H66"/>
    <mergeCell ref="G4:I4"/>
    <mergeCell ref="A18:J18"/>
    <mergeCell ref="A19:A20"/>
    <mergeCell ref="B19:B20"/>
    <mergeCell ref="C19:C20"/>
    <mergeCell ref="D19:D20"/>
    <mergeCell ref="E19:F19"/>
    <mergeCell ref="G19:J19"/>
    <mergeCell ref="A71:B71"/>
    <mergeCell ref="A73:B73"/>
    <mergeCell ref="A74:B74"/>
    <mergeCell ref="A77:B77"/>
    <mergeCell ref="C4:E4"/>
    <mergeCell ref="K4:M4"/>
    <mergeCell ref="E33:F33"/>
    <mergeCell ref="G33:H33"/>
    <mergeCell ref="B89:J89"/>
    <mergeCell ref="A82:B82"/>
    <mergeCell ref="B84:J84"/>
    <mergeCell ref="B85:J85"/>
    <mergeCell ref="B86:J86"/>
    <mergeCell ref="B87:J87"/>
    <mergeCell ref="B88:J88"/>
    <mergeCell ref="A81:B81"/>
    <mergeCell ref="E24:F24"/>
    <mergeCell ref="G24:H24"/>
    <mergeCell ref="G62:H62"/>
    <mergeCell ref="G63:H63"/>
    <mergeCell ref="A70:B70"/>
  </mergeCells>
  <hyperlinks>
    <hyperlink ref="J9" r:id="rId1" xr:uid="{00000000-0004-0000-0100-000000000000}"/>
  </hyperlinks>
  <pageMargins left="0.75" right="0.75" top="1" bottom="1" header="0.5" footer="0.5"/>
  <pageSetup scale="61" orientation="landscape" r:id="rId2"/>
  <headerFooter alignWithMargins="0">
    <oddFooter>&amp;LPage &amp;P of &amp;N of Sheet &amp;A of File &amp;F
Printed on &amp;D at &amp;T
DAS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Butterfly with Check</vt:lpstr>
      <vt:lpstr>'Butterfly with Check'!Print_Titles</vt:lpstr>
    </vt:vector>
  </TitlesOfParts>
  <Company>Dell - Personal Systems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Sellers</dc:creator>
  <cp:lastModifiedBy>David Sellers</cp:lastModifiedBy>
  <dcterms:created xsi:type="dcterms:W3CDTF">2002-10-15T18:30:13Z</dcterms:created>
  <dcterms:modified xsi:type="dcterms:W3CDTF">2020-05-01T22:59:35Z</dcterms:modified>
</cp:coreProperties>
</file>