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3.xml" ContentType="application/vnd.openxmlformats-officedocument.drawing+xml"/>
  <Override PartName="/xl/embeddings/oleObject9.bin" ContentType="application/vnd.openxmlformats-officedocument.oleObject"/>
  <Override PartName="/xl/drawings/drawing4.xml" ContentType="application/vnd.openxmlformats-officedocument.drawing+xml"/>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mc:AlternateContent xmlns:mc="http://schemas.openxmlformats.org/markup-compatibility/2006">
    <mc:Choice Requires="x15">
      <x15ac:absPath xmlns:x15ac="http://schemas.microsoft.com/office/spreadsheetml/2010/11/ac" url="D:\FDE Tools\SketchUp\Bureaucracy Department Building\"/>
    </mc:Choice>
  </mc:AlternateContent>
  <xr:revisionPtr revIDLastSave="0" documentId="13_ncr:1_{E5039636-D1E1-4E4E-9D8A-7CC49340C4EA}" xr6:coauthVersionLast="40" xr6:coauthVersionMax="40" xr10:uidLastSave="{00000000-0000-0000-0000-000000000000}"/>
  <bookViews>
    <workbookView xWindow="-96" yWindow="-96" windowWidth="23232" windowHeight="12552" xr2:uid="{FC9DB22F-076B-49C9-9CDC-9A87837A9416}"/>
  </bookViews>
  <sheets>
    <sheet name="Design Data" sheetId="1" r:id="rId1"/>
    <sheet name="Mixed Air Temp Calcs" sheetId="2" r:id="rId2"/>
    <sheet name="First Floor FTR" sheetId="3" r:id="rId3"/>
    <sheet name="Second Floor FTR" sheetId="4" r:id="rId4"/>
    <sheet name="Warm-up Coil" sheetId="6" r:id="rId5"/>
    <sheet name="Typical Reheat Coil" sheetId="9" r:id="rId6"/>
    <sheet name="Pumps" sheetId="7" r:id="rId7"/>
    <sheet name="Heat Exchanger" sheetId="8" r:id="rId8"/>
    <sheet name="Non-condensing Boiler" sheetId="16" r:id="rId9"/>
    <sheet name="Condensing Boiler" sheetId="17" r:id="rId10"/>
    <sheet name="General Arrangement" sheetId="13" r:id="rId11"/>
    <sheet name="FTR Zones" sheetId="14" r:id="rId12"/>
    <sheet name="FTR and VAV Zones" sheetId="18" r:id="rId13"/>
    <sheet name="Pipe Insulation Losses" sheetId="10" r:id="rId14"/>
    <sheet name="Heat Loss vs. Thickness" sheetId="12" r:id="rId15"/>
    <sheet name="Heat Loss vs. Thickness 90 170" sheetId="11" r:id="rId16"/>
  </sheets>
  <externalReferences>
    <externalReference r:id="rId17"/>
  </externalReferences>
  <definedNames>
    <definedName name="_xlnm.Print_Area" localSheetId="9">'Design Data'!#REF!</definedName>
    <definedName name="_xlnm.Print_Area" localSheetId="2">'[1]CHW Good Pump Selection'!#REF!</definedName>
    <definedName name="_xlnm.Print_Area" localSheetId="12">'Design Data'!#REF!</definedName>
    <definedName name="_xlnm.Print_Area" localSheetId="11">'Design Data'!#REF!</definedName>
    <definedName name="_xlnm.Print_Area" localSheetId="1">'Mixed Air Temp Calcs'!#REF!</definedName>
    <definedName name="_xlnm.Print_Area" localSheetId="3">'[1]CHW Good Pump Selection'!#REF!</definedName>
    <definedName name="_xlnm.Print_Area">'Design Data'!#REF!</definedName>
    <definedName name="_xlnm.Print_Titles" localSheetId="1">'Mixed Air Temp Calcs'!$1:$11</definedName>
    <definedName name="_xlnm.Print_Titles">'Design Data'!$1:$21</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69" i="1" l="1"/>
  <c r="F60" i="1" s="1"/>
  <c r="O61" i="1"/>
  <c r="E80" i="1"/>
  <c r="E58" i="1"/>
  <c r="E77" i="1"/>
  <c r="E79" i="1"/>
  <c r="E78" i="1"/>
  <c r="E76" i="1"/>
  <c r="E75" i="1"/>
  <c r="E74" i="1"/>
  <c r="E68" i="1"/>
  <c r="E66" i="1"/>
  <c r="E65" i="1"/>
  <c r="E60" i="1"/>
  <c r="E57" i="1"/>
  <c r="E54" i="1"/>
  <c r="E53" i="1"/>
  <c r="E52" i="1"/>
  <c r="E73" i="1"/>
  <c r="E70" i="1"/>
  <c r="E69" i="1"/>
  <c r="E72" i="1"/>
  <c r="E71" i="1"/>
  <c r="E67" i="1"/>
  <c r="E56" i="1"/>
  <c r="E59" i="1"/>
  <c r="E55" i="1"/>
  <c r="F72" i="1" l="1"/>
  <c r="F70" i="1"/>
  <c r="F59" i="1"/>
  <c r="F73" i="1"/>
  <c r="E81" i="1"/>
  <c r="L81" i="1" s="1"/>
  <c r="E31" i="18"/>
  <c r="H28" i="18"/>
  <c r="E11" i="18"/>
  <c r="H8" i="18"/>
  <c r="B51" i="7" l="1"/>
  <c r="B52" i="7" s="1"/>
  <c r="B21" i="7"/>
  <c r="B53" i="7" l="1"/>
  <c r="B54" i="7" s="1"/>
  <c r="B22" i="7"/>
  <c r="B23" i="7"/>
  <c r="B8" i="17"/>
  <c r="B4" i="17"/>
  <c r="B9" i="17" s="1"/>
  <c r="B12" i="17" s="1"/>
  <c r="B13" i="17" s="1"/>
  <c r="B2" i="17"/>
  <c r="B8" i="16"/>
  <c r="B2" i="16"/>
  <c r="B4" i="16"/>
  <c r="B9" i="16" s="1"/>
  <c r="B12" i="16" l="1"/>
  <c r="B13" i="16" s="1"/>
  <c r="B10" i="16"/>
  <c r="B10" i="17"/>
  <c r="B24" i="7"/>
  <c r="E31" i="14"/>
  <c r="H28" i="14"/>
  <c r="E11" i="14"/>
  <c r="H8" i="14"/>
  <c r="H28" i="13" l="1"/>
  <c r="E31" i="13"/>
  <c r="H8" i="13"/>
  <c r="E11" i="13" l="1"/>
  <c r="D19" i="9" l="1"/>
  <c r="C83" i="1"/>
  <c r="C87" i="1" s="1"/>
  <c r="C84" i="1" l="1"/>
  <c r="C85" i="1" s="1"/>
  <c r="R38" i="8" l="1"/>
  <c r="R41" i="8" s="1"/>
  <c r="I197" i="1" l="1"/>
  <c r="B13" i="6"/>
  <c r="R59" i="4"/>
  <c r="B11" i="6"/>
  <c r="D6" i="6"/>
  <c r="D4" i="6"/>
  <c r="B8" i="6"/>
  <c r="D77" i="2"/>
  <c r="D34" i="2"/>
  <c r="D42" i="2" s="1"/>
  <c r="D33" i="2"/>
  <c r="D41" i="2" s="1"/>
  <c r="D76" i="2"/>
  <c r="H196" i="1"/>
  <c r="H195" i="1"/>
  <c r="I196" i="1"/>
  <c r="G196" i="1"/>
  <c r="F196" i="1"/>
  <c r="F198" i="1"/>
  <c r="I195" i="1"/>
  <c r="G195" i="1"/>
  <c r="Q55" i="4"/>
  <c r="Q52" i="4"/>
  <c r="Q46" i="4"/>
  <c r="Q43" i="4"/>
  <c r="Q55" i="3"/>
  <c r="Q52" i="3"/>
  <c r="Q46" i="3"/>
  <c r="Q43" i="3"/>
  <c r="B12" i="6" l="1"/>
  <c r="D16" i="9"/>
  <c r="I198" i="1"/>
  <c r="B2" i="7" s="1"/>
  <c r="B12" i="7" s="1"/>
  <c r="F197" i="1"/>
  <c r="G198" i="1"/>
  <c r="D46" i="2"/>
  <c r="C170" i="1" l="1"/>
  <c r="D32" i="4" l="1"/>
  <c r="D32" i="3"/>
  <c r="E118" i="4"/>
  <c r="E119" i="4" s="1"/>
  <c r="G117" i="4"/>
  <c r="E98" i="4"/>
  <c r="E99" i="4" s="1"/>
  <c r="G97" i="4"/>
  <c r="D93" i="4"/>
  <c r="G93" i="4" s="1"/>
  <c r="D92" i="4"/>
  <c r="G92" i="4" s="1"/>
  <c r="D91" i="4"/>
  <c r="G91" i="4" s="1"/>
  <c r="D90" i="4"/>
  <c r="G90" i="4" s="1"/>
  <c r="D89" i="4"/>
  <c r="G89" i="4" s="1"/>
  <c r="D88" i="4"/>
  <c r="G88" i="4" s="1"/>
  <c r="D87" i="4"/>
  <c r="G87" i="4" s="1"/>
  <c r="D86" i="4"/>
  <c r="G86" i="4" s="1"/>
  <c r="D85" i="4"/>
  <c r="G85" i="4" s="1"/>
  <c r="D84" i="4"/>
  <c r="G84" i="4" s="1"/>
  <c r="D83" i="4"/>
  <c r="G83" i="4" s="1"/>
  <c r="D82" i="4"/>
  <c r="G82" i="4" s="1"/>
  <c r="D81" i="4"/>
  <c r="G81" i="4" s="1"/>
  <c r="D80" i="4"/>
  <c r="G80" i="4" s="1"/>
  <c r="D79" i="4"/>
  <c r="G79" i="4" s="1"/>
  <c r="D78" i="4"/>
  <c r="G78" i="4" s="1"/>
  <c r="D77" i="4"/>
  <c r="G77" i="4" s="1"/>
  <c r="D73" i="4"/>
  <c r="G73" i="4" s="1"/>
  <c r="D72" i="4"/>
  <c r="G72" i="4" s="1"/>
  <c r="D71" i="4"/>
  <c r="G71" i="4" s="1"/>
  <c r="D70" i="4"/>
  <c r="G70" i="4" s="1"/>
  <c r="D69" i="4"/>
  <c r="G69" i="4" s="1"/>
  <c r="D68" i="4"/>
  <c r="G68" i="4" s="1"/>
  <c r="D67" i="4"/>
  <c r="G67" i="4" s="1"/>
  <c r="D66" i="4"/>
  <c r="G66" i="4" s="1"/>
  <c r="D65" i="4"/>
  <c r="G65" i="4" s="1"/>
  <c r="D64" i="4"/>
  <c r="G64" i="4" s="1"/>
  <c r="D63" i="4"/>
  <c r="G63" i="4" s="1"/>
  <c r="D62" i="4"/>
  <c r="G62" i="4" s="1"/>
  <c r="D61" i="4"/>
  <c r="G61" i="4" s="1"/>
  <c r="D60" i="4"/>
  <c r="G60" i="4" s="1"/>
  <c r="D59" i="4"/>
  <c r="G59" i="4" s="1"/>
  <c r="D58" i="4"/>
  <c r="G58" i="4" s="1"/>
  <c r="D57" i="4"/>
  <c r="G57" i="4" s="1"/>
  <c r="G53" i="4"/>
  <c r="I38" i="4" s="1"/>
  <c r="G52" i="4"/>
  <c r="G51" i="4"/>
  <c r="G50" i="4"/>
  <c r="G49" i="4"/>
  <c r="G48" i="4"/>
  <c r="G47" i="4"/>
  <c r="G46" i="4"/>
  <c r="G45" i="4"/>
  <c r="G44" i="4"/>
  <c r="D196" i="1" s="1"/>
  <c r="G43" i="4"/>
  <c r="G42" i="4"/>
  <c r="G41" i="4"/>
  <c r="G40" i="4"/>
  <c r="G39" i="4"/>
  <c r="H38" i="4"/>
  <c r="G38" i="4"/>
  <c r="H37" i="4"/>
  <c r="G37" i="4"/>
  <c r="I37" i="4" s="1"/>
  <c r="B136" i="1"/>
  <c r="B135" i="1"/>
  <c r="G118" i="3"/>
  <c r="E118" i="3"/>
  <c r="E119" i="3" s="1"/>
  <c r="G117" i="3"/>
  <c r="E98" i="3"/>
  <c r="G98" i="3" s="1"/>
  <c r="G97" i="3"/>
  <c r="D93" i="3"/>
  <c r="G93" i="3" s="1"/>
  <c r="D92" i="3"/>
  <c r="G92" i="3" s="1"/>
  <c r="D91" i="3"/>
  <c r="G91" i="3" s="1"/>
  <c r="D90" i="3"/>
  <c r="G90" i="3" s="1"/>
  <c r="D89" i="3"/>
  <c r="G89" i="3" s="1"/>
  <c r="D88" i="3"/>
  <c r="G88" i="3" s="1"/>
  <c r="D87" i="3"/>
  <c r="G87" i="3" s="1"/>
  <c r="D86" i="3"/>
  <c r="G86" i="3" s="1"/>
  <c r="D85" i="3"/>
  <c r="G85" i="3" s="1"/>
  <c r="D84" i="3"/>
  <c r="G84" i="3" s="1"/>
  <c r="D83" i="3"/>
  <c r="G83" i="3" s="1"/>
  <c r="D82" i="3"/>
  <c r="G82" i="3" s="1"/>
  <c r="D81" i="3"/>
  <c r="G81" i="3" s="1"/>
  <c r="D80" i="3"/>
  <c r="G80" i="3" s="1"/>
  <c r="D79" i="3"/>
  <c r="G79" i="3" s="1"/>
  <c r="D78" i="3"/>
  <c r="G78" i="3" s="1"/>
  <c r="D77" i="3"/>
  <c r="G77" i="3" s="1"/>
  <c r="D73" i="3"/>
  <c r="G73" i="3" s="1"/>
  <c r="D72" i="3"/>
  <c r="G72" i="3" s="1"/>
  <c r="D71" i="3"/>
  <c r="G71" i="3" s="1"/>
  <c r="D70" i="3"/>
  <c r="G70" i="3" s="1"/>
  <c r="D69" i="3"/>
  <c r="G69" i="3" s="1"/>
  <c r="D68" i="3"/>
  <c r="G68" i="3" s="1"/>
  <c r="D67" i="3"/>
  <c r="G67" i="3" s="1"/>
  <c r="D66" i="3"/>
  <c r="G66" i="3" s="1"/>
  <c r="D65" i="3"/>
  <c r="G65" i="3" s="1"/>
  <c r="G64" i="3"/>
  <c r="D64" i="3"/>
  <c r="D63" i="3"/>
  <c r="G63" i="3" s="1"/>
  <c r="D62" i="3"/>
  <c r="G62" i="3" s="1"/>
  <c r="D61" i="3"/>
  <c r="G61" i="3" s="1"/>
  <c r="D60" i="3"/>
  <c r="G60" i="3" s="1"/>
  <c r="D59" i="3"/>
  <c r="G59" i="3" s="1"/>
  <c r="D58" i="3"/>
  <c r="G58" i="3" s="1"/>
  <c r="D57" i="3"/>
  <c r="G57" i="3" s="1"/>
  <c r="G53" i="3"/>
  <c r="I38" i="3" s="1"/>
  <c r="G52" i="3"/>
  <c r="G51" i="3"/>
  <c r="G50" i="3"/>
  <c r="G49" i="3"/>
  <c r="G48" i="3"/>
  <c r="G47" i="3"/>
  <c r="G46" i="3"/>
  <c r="G45" i="3"/>
  <c r="G44" i="3"/>
  <c r="E32" i="3" s="1"/>
  <c r="D195" i="1" s="1"/>
  <c r="G43" i="3"/>
  <c r="G42" i="3"/>
  <c r="G41" i="3"/>
  <c r="G40" i="3"/>
  <c r="G39" i="3"/>
  <c r="H38" i="3"/>
  <c r="G38" i="3"/>
  <c r="H37" i="3"/>
  <c r="G37" i="3"/>
  <c r="I37" i="3" s="1"/>
  <c r="G98" i="4" l="1"/>
  <c r="E99" i="3"/>
  <c r="E100" i="3" s="1"/>
  <c r="E32" i="4"/>
  <c r="E100" i="4"/>
  <c r="G99" i="4"/>
  <c r="E120" i="4"/>
  <c r="G119" i="4"/>
  <c r="G118" i="4"/>
  <c r="E120" i="3"/>
  <c r="G119" i="3"/>
  <c r="G100" i="3"/>
  <c r="E101" i="3"/>
  <c r="G99" i="3"/>
  <c r="E121" i="4" l="1"/>
  <c r="G120" i="4"/>
  <c r="G100" i="4"/>
  <c r="E101" i="4"/>
  <c r="E121" i="3"/>
  <c r="G120" i="3"/>
  <c r="G101" i="3"/>
  <c r="E102" i="3"/>
  <c r="E102" i="4" l="1"/>
  <c r="G101" i="4"/>
  <c r="G121" i="4"/>
  <c r="E122" i="4"/>
  <c r="G121" i="3"/>
  <c r="E122" i="3"/>
  <c r="E103" i="3"/>
  <c r="G102" i="3"/>
  <c r="E123" i="4" l="1"/>
  <c r="G122" i="4"/>
  <c r="E103" i="4"/>
  <c r="G102" i="4"/>
  <c r="E104" i="3"/>
  <c r="G103" i="3"/>
  <c r="E123" i="3"/>
  <c r="G122" i="3"/>
  <c r="E104" i="4" l="1"/>
  <c r="G103" i="4"/>
  <c r="E124" i="4"/>
  <c r="G123" i="4"/>
  <c r="E105" i="3"/>
  <c r="G104" i="3"/>
  <c r="E124" i="3"/>
  <c r="G123" i="3"/>
  <c r="E125" i="4" l="1"/>
  <c r="G124" i="4"/>
  <c r="G104" i="4"/>
  <c r="E105" i="4"/>
  <c r="E106" i="3"/>
  <c r="G105" i="3"/>
  <c r="G124" i="3"/>
  <c r="E125" i="3"/>
  <c r="E106" i="4" l="1"/>
  <c r="G105" i="4"/>
  <c r="G125" i="4"/>
  <c r="E126" i="4"/>
  <c r="G125" i="3"/>
  <c r="E126" i="3"/>
  <c r="E107" i="3"/>
  <c r="G106" i="3"/>
  <c r="E127" i="4" l="1"/>
  <c r="G126" i="4"/>
  <c r="E107" i="4"/>
  <c r="G106" i="4"/>
  <c r="E108" i="3"/>
  <c r="G107" i="3"/>
  <c r="G126" i="3"/>
  <c r="E127" i="3"/>
  <c r="E108" i="4" l="1"/>
  <c r="G107" i="4"/>
  <c r="E128" i="4"/>
  <c r="G127" i="4"/>
  <c r="E128" i="3"/>
  <c r="G127" i="3"/>
  <c r="E109" i="3"/>
  <c r="G108" i="3"/>
  <c r="G128" i="4" l="1"/>
  <c r="E129" i="4"/>
  <c r="E109" i="4"/>
  <c r="G108" i="4"/>
  <c r="G109" i="3"/>
  <c r="E110" i="3"/>
  <c r="E129" i="3"/>
  <c r="G128" i="3"/>
  <c r="E110" i="4" l="1"/>
  <c r="G109" i="4"/>
  <c r="G129" i="4"/>
  <c r="E130" i="4"/>
  <c r="G129" i="3"/>
  <c r="E130" i="3"/>
  <c r="E111" i="3"/>
  <c r="G110" i="3"/>
  <c r="E131" i="4" l="1"/>
  <c r="G130" i="4"/>
  <c r="E111" i="4"/>
  <c r="G110" i="4"/>
  <c r="E131" i="3"/>
  <c r="G130" i="3"/>
  <c r="E112" i="3"/>
  <c r="G111" i="3"/>
  <c r="E112" i="4" l="1"/>
  <c r="G111" i="4"/>
  <c r="E132" i="4"/>
  <c r="G131" i="4"/>
  <c r="E113" i="3"/>
  <c r="G113" i="3" s="1"/>
  <c r="G112" i="3"/>
  <c r="E132" i="3"/>
  <c r="G131" i="3"/>
  <c r="E133" i="4" l="1"/>
  <c r="G133" i="4" s="1"/>
  <c r="G132" i="4"/>
  <c r="G112" i="4"/>
  <c r="E113" i="4"/>
  <c r="G113" i="4" s="1"/>
  <c r="G132" i="3"/>
  <c r="E133" i="3"/>
  <c r="G133" i="3" s="1"/>
  <c r="C176" i="1" l="1"/>
  <c r="C175" i="1"/>
  <c r="D4" i="9" s="1"/>
  <c r="C99" i="1"/>
  <c r="C117" i="1"/>
  <c r="B7" i="6" s="1"/>
  <c r="D51" i="2"/>
  <c r="D38" i="2"/>
  <c r="C171" i="1" l="1"/>
  <c r="C172" i="1" s="1"/>
  <c r="D11" i="9" s="1"/>
  <c r="C90" i="1"/>
  <c r="C38" i="1"/>
  <c r="C15" i="1"/>
  <c r="C12" i="1"/>
  <c r="D7" i="9" l="1"/>
  <c r="C39" i="1"/>
  <c r="D8" i="9"/>
  <c r="D5" i="7"/>
  <c r="B5" i="7" s="1"/>
  <c r="B6" i="7" s="1"/>
  <c r="R60" i="4"/>
  <c r="R62" i="4" s="1"/>
  <c r="C18" i="1"/>
  <c r="C124" i="1"/>
  <c r="C125" i="1" s="1"/>
  <c r="C97" i="1"/>
  <c r="O63" i="1" s="1"/>
  <c r="C91" i="1"/>
  <c r="C88" i="1"/>
  <c r="C89" i="1" s="1"/>
  <c r="C43" i="1" l="1"/>
  <c r="O53" i="1"/>
  <c r="I52" i="1"/>
  <c r="I71" i="1"/>
  <c r="I55" i="1"/>
  <c r="I60" i="1"/>
  <c r="I54" i="1"/>
  <c r="I73" i="1"/>
  <c r="I56" i="1"/>
  <c r="I68" i="1"/>
  <c r="I69" i="1"/>
  <c r="I67" i="1"/>
  <c r="I72" i="1"/>
  <c r="I65" i="1"/>
  <c r="I81" i="1" s="1"/>
  <c r="I59" i="1"/>
  <c r="I58" i="1"/>
  <c r="I53" i="1"/>
  <c r="I57" i="1"/>
  <c r="I70" i="1"/>
  <c r="I66" i="1"/>
  <c r="D53" i="2"/>
  <c r="D9" i="9"/>
  <c r="D12" i="9" s="1"/>
  <c r="D13" i="9" s="1"/>
  <c r="D18" i="9"/>
  <c r="D20" i="9" s="1"/>
  <c r="O65" i="1" s="1"/>
  <c r="R63" i="4"/>
  <c r="R64" i="4"/>
  <c r="C19" i="1"/>
  <c r="C40" i="1"/>
  <c r="B1" i="6"/>
  <c r="C98" i="1"/>
  <c r="C178" i="1" s="1"/>
  <c r="C100" i="1"/>
  <c r="C118" i="1"/>
  <c r="C189" i="1" s="1"/>
  <c r="C92" i="1"/>
  <c r="G53" i="1" l="1"/>
  <c r="G56" i="1"/>
  <c r="G71" i="1"/>
  <c r="G52" i="1"/>
  <c r="G66" i="1"/>
  <c r="F69" i="1"/>
  <c r="C104" i="1"/>
  <c r="O55" i="1"/>
  <c r="O56" i="1" s="1"/>
  <c r="C120" i="1"/>
  <c r="C121" i="1" s="1"/>
  <c r="C122" i="1" s="1"/>
  <c r="C123" i="1" s="1"/>
  <c r="C126" i="1" s="1"/>
  <c r="C127" i="1" s="1"/>
  <c r="C128" i="1" s="1"/>
  <c r="C129" i="1" s="1"/>
  <c r="E29" i="3" s="1"/>
  <c r="E33" i="3" s="1"/>
  <c r="E195" i="1" s="1"/>
  <c r="J65" i="1"/>
  <c r="J53" i="1"/>
  <c r="J69" i="1"/>
  <c r="J67" i="1"/>
  <c r="J58" i="1"/>
  <c r="J55" i="1"/>
  <c r="J59" i="1"/>
  <c r="J71" i="1"/>
  <c r="J60" i="1"/>
  <c r="J54" i="1"/>
  <c r="J73" i="1"/>
  <c r="J66" i="1"/>
  <c r="J57" i="1"/>
  <c r="J68" i="1"/>
  <c r="J72" i="1"/>
  <c r="J56" i="1"/>
  <c r="J70" i="1"/>
  <c r="J52" i="1"/>
  <c r="C139" i="1"/>
  <c r="D3" i="9"/>
  <c r="D15" i="9" s="1"/>
  <c r="C179" i="1"/>
  <c r="B3" i="6"/>
  <c r="B5" i="6" s="1"/>
  <c r="D5" i="6" s="1"/>
  <c r="B9" i="6"/>
  <c r="C41" i="1"/>
  <c r="C44" i="1"/>
  <c r="R65" i="4"/>
  <c r="B4" i="7" s="1"/>
  <c r="C132" i="1"/>
  <c r="C135" i="1" s="1"/>
  <c r="E30" i="3" s="1"/>
  <c r="D61" i="2"/>
  <c r="D52" i="2"/>
  <c r="H66" i="1" l="1"/>
  <c r="H52" i="1"/>
  <c r="H71" i="1"/>
  <c r="H56" i="1"/>
  <c r="H53" i="1"/>
  <c r="R52" i="3"/>
  <c r="R53" i="3" s="1"/>
  <c r="G57" i="1"/>
  <c r="H57" i="1" s="1"/>
  <c r="G73" i="1"/>
  <c r="H73" i="1" s="1"/>
  <c r="R46" i="3"/>
  <c r="C105" i="1"/>
  <c r="C106" i="1"/>
  <c r="C107" i="1"/>
  <c r="C108" i="1" s="1"/>
  <c r="G70" i="1"/>
  <c r="H70" i="1" s="1"/>
  <c r="G54" i="1"/>
  <c r="H54" i="1" s="1"/>
  <c r="C130" i="1"/>
  <c r="R43" i="3"/>
  <c r="R44" i="3" s="1"/>
  <c r="G60" i="1"/>
  <c r="H60" i="1" s="1"/>
  <c r="G55" i="1"/>
  <c r="H55" i="1" s="1"/>
  <c r="G58" i="1"/>
  <c r="H58" i="1" s="1"/>
  <c r="G65" i="1"/>
  <c r="H65" i="1" s="1"/>
  <c r="F81" i="1"/>
  <c r="R55" i="3"/>
  <c r="G68" i="1"/>
  <c r="H68" i="1" s="1"/>
  <c r="G59" i="1"/>
  <c r="H59" i="1" s="1"/>
  <c r="G74" i="1"/>
  <c r="C195" i="1"/>
  <c r="G69" i="1"/>
  <c r="H69" i="1" s="1"/>
  <c r="G67" i="1"/>
  <c r="H67" i="1" s="1"/>
  <c r="G72" i="1"/>
  <c r="H72" i="1" s="1"/>
  <c r="J81" i="1"/>
  <c r="C197" i="1"/>
  <c r="J197" i="1" s="1"/>
  <c r="K197" i="1" s="1"/>
  <c r="B10" i="6"/>
  <c r="C133" i="1"/>
  <c r="C136" i="1" s="1"/>
  <c r="E30" i="4" s="1"/>
  <c r="E29" i="4"/>
  <c r="R47" i="3"/>
  <c r="R48" i="3"/>
  <c r="B8" i="7"/>
  <c r="B9" i="7" s="1"/>
  <c r="B13" i="7" s="1"/>
  <c r="J195" i="1"/>
  <c r="K195" i="1" s="1"/>
  <c r="R57" i="3"/>
  <c r="R56" i="3"/>
  <c r="C143" i="1"/>
  <c r="C45" i="1"/>
  <c r="C140" i="1" s="1"/>
  <c r="C131" i="1"/>
  <c r="C188" i="1" s="1"/>
  <c r="D55" i="2"/>
  <c r="D54" i="2"/>
  <c r="D56" i="2" s="1"/>
  <c r="D63" i="2"/>
  <c r="D65" i="2" s="1"/>
  <c r="C113" i="1" s="1"/>
  <c r="D64" i="2"/>
  <c r="G81" i="1" l="1"/>
  <c r="C196" i="1"/>
  <c r="C198" i="1" s="1"/>
  <c r="E33" i="4"/>
  <c r="E196" i="1" s="1"/>
  <c r="E198" i="1" s="1"/>
  <c r="R43" i="4"/>
  <c r="R44" i="4" s="1"/>
  <c r="R55" i="4"/>
  <c r="R52" i="4"/>
  <c r="R53" i="4" s="1"/>
  <c r="R46" i="4"/>
  <c r="C174" i="1"/>
  <c r="C145" i="1"/>
  <c r="C141" i="1"/>
  <c r="C146" i="1"/>
  <c r="C192" i="1"/>
  <c r="C182" i="1" l="1"/>
  <c r="C183" i="1" s="1"/>
  <c r="D71" i="2" s="1"/>
  <c r="C177" i="1"/>
  <c r="C151" i="1"/>
  <c r="C156" i="1"/>
  <c r="C166" i="1"/>
  <c r="C161" i="1"/>
  <c r="C147" i="1"/>
  <c r="R47" i="4"/>
  <c r="R48" i="4"/>
  <c r="D36" i="2"/>
  <c r="I143" i="1"/>
  <c r="J196" i="1"/>
  <c r="K196" i="1" s="1"/>
  <c r="K198" i="1" s="1"/>
  <c r="J198" i="1" s="1"/>
  <c r="R57" i="4"/>
  <c r="R56" i="4"/>
  <c r="D78" i="2" l="1"/>
  <c r="D70" i="2"/>
  <c r="D73" i="2" s="1"/>
  <c r="H143" i="1"/>
  <c r="B150" i="1"/>
  <c r="B148" i="1"/>
  <c r="C148" i="1"/>
  <c r="D44" i="2"/>
  <c r="D45" i="2" s="1"/>
  <c r="D47" i="2" s="1"/>
  <c r="D37" i="2"/>
  <c r="D39" i="2" s="1"/>
  <c r="D79" i="2"/>
  <c r="D80" i="2" l="1"/>
  <c r="D82" i="2" s="1"/>
  <c r="C184" i="1" s="1"/>
  <c r="D72" i="2"/>
  <c r="D74" i="2" s="1"/>
  <c r="C185" i="1" s="1"/>
  <c r="G143" i="1"/>
  <c r="C150" i="1"/>
  <c r="D81" i="2"/>
  <c r="I144" i="1" l="1"/>
  <c r="C152" i="1"/>
  <c r="H144" i="1" l="1"/>
  <c r="B155" i="1"/>
  <c r="B153" i="1"/>
  <c r="C153" i="1"/>
  <c r="G144" i="1" l="1"/>
  <c r="C155" i="1"/>
  <c r="I145" i="1" l="1"/>
  <c r="C157" i="1"/>
  <c r="H145" i="1" l="1"/>
  <c r="B160" i="1"/>
  <c r="B158" i="1"/>
  <c r="C158" i="1"/>
  <c r="G145" i="1" l="1"/>
  <c r="C160" i="1"/>
  <c r="I146" i="1" l="1"/>
  <c r="C162" i="1"/>
  <c r="H146" i="1" l="1"/>
  <c r="B165" i="1"/>
  <c r="B163" i="1"/>
  <c r="C163" i="1"/>
  <c r="G146" i="1" l="1"/>
  <c r="C165" i="1"/>
  <c r="I147" i="1" l="1"/>
  <c r="C167" i="1"/>
  <c r="H147" i="1" l="1"/>
  <c r="B168" i="1"/>
  <c r="C168" i="1"/>
  <c r="G147" i="1" l="1"/>
  <c r="C190" i="1"/>
  <c r="C191" i="1" s="1"/>
</calcChain>
</file>

<file path=xl/sharedStrings.xml><?xml version="1.0" encoding="utf-8"?>
<sst xmlns="http://schemas.openxmlformats.org/spreadsheetml/2006/main" count="1104" uniqueCount="524">
  <si>
    <t>Engineering Calculation</t>
  </si>
  <si>
    <t xml:space="preserve">Project Name: </t>
  </si>
  <si>
    <t xml:space="preserve">Project Number: </t>
  </si>
  <si>
    <t xml:space="preserve">Engineer: </t>
  </si>
  <si>
    <t>Assumptions</t>
  </si>
  <si>
    <t>Date:</t>
  </si>
  <si>
    <t>Facility Dynamics Headquarters  - 6760 Alexander Bell Drive,  Suite 200,  Columbia, MD 21046, Phone: (410) 290-0900;  www.facilitydynamics.com</t>
  </si>
  <si>
    <t>Facility Dynamics Satellite Location  - 8560 North Buchanan Avenue,  Portland, Oregon 97203, Phone: ;  www.facilitydynamics.com</t>
  </si>
  <si>
    <t>Eikon Logic Diagram Exercise HHW System</t>
  </si>
  <si>
    <t>David</t>
  </si>
  <si>
    <t>This spreadsheet develops some basic load metrics for the HHW system in the Eikon logic diagram exercise so they can become "clues" for answering some questions that will come up when you are developing the logic</t>
  </si>
  <si>
    <t xml:space="preserve">Assumed heating load - </t>
  </si>
  <si>
    <t xml:space="preserve">Source - </t>
  </si>
  <si>
    <r>
      <t xml:space="preserve">Average of the range for an average building from </t>
    </r>
    <r>
      <rPr>
        <i/>
        <sz val="12"/>
        <color indexed="8"/>
        <rFont val="Comic Sans MS"/>
        <family val="4"/>
      </rPr>
      <t>HVAC Equations, Data, and Rules of Thumb</t>
    </r>
  </si>
  <si>
    <t xml:space="preserve">Building size - </t>
  </si>
  <si>
    <t>sq.ft.</t>
  </si>
  <si>
    <t xml:space="preserve">Number of floors - </t>
  </si>
  <si>
    <t xml:space="preserve">Building length - </t>
  </si>
  <si>
    <t xml:space="preserve">Building width - </t>
  </si>
  <si>
    <t>both above grade, both the same size</t>
  </si>
  <si>
    <t>ft.</t>
  </si>
  <si>
    <t xml:space="preserve">Heating system - </t>
  </si>
  <si>
    <t>Finned tube radiation with a warm-up coil in the AHU</t>
  </si>
  <si>
    <t xml:space="preserve">Cooling and Ventilation System - </t>
  </si>
  <si>
    <t xml:space="preserve">Number of people - </t>
  </si>
  <si>
    <t xml:space="preserve">Building use - </t>
  </si>
  <si>
    <t xml:space="preserve">Office </t>
  </si>
  <si>
    <t xml:space="preserve">Square feet per person - </t>
  </si>
  <si>
    <t>sq,ft, per person</t>
  </si>
  <si>
    <r>
      <t xml:space="preserve">Average of the range for an office building from </t>
    </r>
    <r>
      <rPr>
        <i/>
        <sz val="12"/>
        <color indexed="8"/>
        <rFont val="Comic Sans MS"/>
        <family val="4"/>
      </rPr>
      <t>HVAC Equations, Data, and Rules of Thumb</t>
    </r>
  </si>
  <si>
    <t xml:space="preserve">Ventilation rate - </t>
  </si>
  <si>
    <t>cfm/person</t>
  </si>
  <si>
    <t xml:space="preserve">Minimum outdoor air requirement - </t>
  </si>
  <si>
    <t>cfm</t>
  </si>
  <si>
    <t xml:space="preserve">SHR - </t>
  </si>
  <si>
    <t>Btu/hr/sqft</t>
  </si>
  <si>
    <t>°F</t>
  </si>
  <si>
    <t xml:space="preserve">Space condition - </t>
  </si>
  <si>
    <t xml:space="preserve">Design cooling coil LAT - </t>
  </si>
  <si>
    <t>RH</t>
  </si>
  <si>
    <t>Psych chart to the right</t>
  </si>
  <si>
    <t>Past experience</t>
  </si>
  <si>
    <t xml:space="preserve">AHU design flow rate  - </t>
  </si>
  <si>
    <t>Btu/hr for the building</t>
  </si>
  <si>
    <t>Tons for the building</t>
  </si>
  <si>
    <t xml:space="preserve">Assumed cooling load - Room Sensible - </t>
  </si>
  <si>
    <t xml:space="preserve">Assumed cooling load - Room Latent - </t>
  </si>
  <si>
    <t xml:space="preserve">Assumed cooling load - Room Total - </t>
  </si>
  <si>
    <t>Assumed SHR and room sensible load</t>
  </si>
  <si>
    <t>cfm, Sensible heat equation using space temperature cooling coil LAT and total space load</t>
  </si>
  <si>
    <t xml:space="preserve">Building location -  </t>
  </si>
  <si>
    <t>St. Louis, MO</t>
  </si>
  <si>
    <t xml:space="preserve">2% outdoor cooling design conditions - </t>
  </si>
  <si>
    <r>
      <t>°Ft</t>
    </r>
    <r>
      <rPr>
        <vertAlign val="subscript"/>
        <sz val="12"/>
        <color indexed="8"/>
        <rFont val="Comic Sans MS"/>
        <family val="4"/>
      </rPr>
      <t>db</t>
    </r>
  </si>
  <si>
    <r>
      <t>°Ft</t>
    </r>
    <r>
      <rPr>
        <vertAlign val="subscript"/>
        <sz val="12"/>
        <color indexed="8"/>
        <rFont val="Comic Sans MS"/>
        <family val="4"/>
      </rPr>
      <t>wb</t>
    </r>
  </si>
  <si>
    <t>Btu/lb</t>
  </si>
  <si>
    <t xml:space="preserve">Ventilation total load - </t>
  </si>
  <si>
    <t xml:space="preserve">Total cooling load - </t>
  </si>
  <si>
    <t>Tons</t>
  </si>
  <si>
    <t>Btu/hr</t>
  </si>
  <si>
    <t>99% outdoor heating design condition</t>
  </si>
  <si>
    <t xml:space="preserve">Outdoor temperature where preheat would be required - </t>
  </si>
  <si>
    <t xml:space="preserve">Mixed air temperature (MAT) = </t>
  </si>
  <si>
    <t xml:space="preserve">RA Flow  = </t>
  </si>
  <si>
    <t xml:space="preserve">Outdoor air percentage = </t>
  </si>
  <si>
    <t xml:space="preserve">Outdoor air flow (OA Flow) = </t>
  </si>
  <si>
    <t xml:space="preserve">Supply flow (SAF) = </t>
  </si>
  <si>
    <t xml:space="preserve">Outdoor air temperature (OAT)= </t>
  </si>
  <si>
    <t xml:space="preserve">Return air temperature (RAT) = </t>
  </si>
  <si>
    <t xml:space="preserve">Design mixed air temperature (MAT) = </t>
  </si>
  <si>
    <t>This is simply a more general case of the preceeding equation</t>
  </si>
  <si>
    <t>This is simply a special case with the mixed air temperature set to 32°F</t>
  </si>
  <si>
    <t>Outdoor air temperature that results in a 32°F mixed air temperature</t>
  </si>
  <si>
    <t>On a Rate Basis, Given the Assumptions Listed in 2 Above, the Steady Flow Energy Equation can be Reduced to this Relationship</t>
  </si>
  <si>
    <t>Steady Flow Energy Equation</t>
  </si>
  <si>
    <t>Any calculation involving mixed air/supply air temperature assumes complete mixing of the two air streams feeding into the process.</t>
  </si>
  <si>
    <t>Supply air temperature and mixed air temperature are used interchangably;  the supply air temperature is the temperature leaving the mixing process.</t>
  </si>
  <si>
    <t>Av8rDAS.Wordpress.Com - Economizers - The Physics of a Mixed Air Plenum</t>
  </si>
  <si>
    <t>pressure specific heat of air can be assumed to be constant .  See this blog post for more info.</t>
  </si>
  <si>
    <t>for an HVAC system, air can be treated as an ideal gas, and the assumption that for an HVAC system, the constant</t>
  </si>
  <si>
    <t>These equations are derived from the steady flow energy equation, conservation of mass, the assumption that</t>
  </si>
  <si>
    <t>Note that the Supply Air Flow is the flow out of the mixed air plenum.</t>
  </si>
  <si>
    <t>… and read the results in the blue cells.</t>
  </si>
  <si>
    <t>Enter appropriate data in the yellow cells in consistent units of measure …</t>
  </si>
  <si>
    <t>David Sellers</t>
  </si>
  <si>
    <t>None</t>
  </si>
  <si>
    <t xml:space="preserve">Return duct temperature drop, design heating day - </t>
  </si>
  <si>
    <t xml:space="preserve">Warm-up leaving air temperature - </t>
  </si>
  <si>
    <t xml:space="preserve">Building set back temperature - </t>
  </si>
  <si>
    <t xml:space="preserve">Reheat load - </t>
  </si>
  <si>
    <t>Assumption based on past experience</t>
  </si>
  <si>
    <t>Assumption</t>
  </si>
  <si>
    <t xml:space="preserve">Warm-up entering air temperature (no OA) - </t>
  </si>
  <si>
    <t xml:space="preserve">Warm-up load - </t>
  </si>
  <si>
    <t>Basic Data and Assumptions</t>
  </si>
  <si>
    <t>Cooling Load Estimate</t>
  </si>
  <si>
    <t>Preheat Requirement Assessment</t>
  </si>
  <si>
    <t>°F;  from conservation of mass and energy;  see the Mixed Air Temp Calcs tab; Preheat not required</t>
  </si>
  <si>
    <t>Warm-up Requirement Assessment</t>
  </si>
  <si>
    <t xml:space="preserve">Total Peak Heating Load </t>
  </si>
  <si>
    <t xml:space="preserve">Space load - </t>
  </si>
  <si>
    <t xml:space="preserve">Ventilation load - </t>
  </si>
  <si>
    <t>Btu/hr from the sensible load equation</t>
  </si>
  <si>
    <t>Btu/hr, from the sensible load equation and design conditions and MOA flow</t>
  </si>
  <si>
    <t>Btu/hr, from assumptions about total heating load and ventilation load</t>
  </si>
  <si>
    <t xml:space="preserve">Building perimeter per floor - </t>
  </si>
  <si>
    <t xml:space="preserve">Total perimeter, heated area - </t>
  </si>
  <si>
    <t>Btu/ft</t>
  </si>
  <si>
    <t xml:space="preserve">Second floor heating load (with roof load ) - </t>
  </si>
  <si>
    <t xml:space="preserve"> = percent of space load assumed to be roof load</t>
  </si>
  <si>
    <t xml:space="preserve">Total perimeter heating load - </t>
  </si>
  <si>
    <t xml:space="preserve">Perimeter heating load per floor - </t>
  </si>
  <si>
    <t xml:space="preserve">First floor perimeter heating load - </t>
  </si>
  <si>
    <t xml:space="preserve">Roof load - </t>
  </si>
  <si>
    <t xml:space="preserve">Total spoce heating load - </t>
  </si>
  <si>
    <t>Btu/hr (should match number above)</t>
  </si>
  <si>
    <t xml:space="preserve">Btu/foot of heated space, first floor - </t>
  </si>
  <si>
    <t>Bti/ft</t>
  </si>
  <si>
    <t>Reheat Load Requirement Assessment</t>
  </si>
  <si>
    <t xml:space="preserve">Asummed turndown ratio - </t>
  </si>
  <si>
    <t>Estmiate based on past experience</t>
  </si>
  <si>
    <t xml:space="preserve">Minimum flow rate at mimimum load - </t>
  </si>
  <si>
    <t>VAV reheat AHU with economizer, warm-up coil, and DX cooling</t>
  </si>
  <si>
    <t xml:space="preserve">Perimeter zone depth - </t>
  </si>
  <si>
    <t xml:space="preserve">Perimeter area - </t>
  </si>
  <si>
    <t>sq.ft. (total for both floors)</t>
  </si>
  <si>
    <t xml:space="preserve">Core area - </t>
  </si>
  <si>
    <t xml:space="preserve">People in the periemter area - </t>
  </si>
  <si>
    <t xml:space="preserve">People in the core area - </t>
  </si>
  <si>
    <t>people</t>
  </si>
  <si>
    <t>peope</t>
  </si>
  <si>
    <t>cfm total</t>
  </si>
  <si>
    <t>cfm for the perimeter zones</t>
  </si>
  <si>
    <t>cfm for the core zones</t>
  </si>
  <si>
    <t>cfm per square foot</t>
  </si>
  <si>
    <t xml:space="preserve">Core total flow rate - </t>
  </si>
  <si>
    <t xml:space="preserve">Core MOA flow rate - </t>
  </si>
  <si>
    <t xml:space="preserve">Core % MOA - </t>
  </si>
  <si>
    <t>Assume on a design heating day the core is still at design cooling load with full people count</t>
  </si>
  <si>
    <t>Assume on a design heating day, the perimeter only needs the MOA flow as neutral air</t>
  </si>
  <si>
    <t xml:space="preserve">Perimeter MOA flow rate - </t>
  </si>
  <si>
    <t xml:space="preserve">Perimeter % MOA - </t>
  </si>
  <si>
    <t xml:space="preserve">Total system flow rate - </t>
  </si>
  <si>
    <t xml:space="preserve">Total system MOA flow rate - </t>
  </si>
  <si>
    <t xml:space="preserve">% MOA - </t>
  </si>
  <si>
    <t>Second Iteration</t>
  </si>
  <si>
    <t>Third Iteration</t>
  </si>
  <si>
    <t>Fourth Iteration</t>
  </si>
  <si>
    <t>Fifth Iteration</t>
  </si>
  <si>
    <t>cfm;  Assume this is the perimeter minimum flow rate on the design heating day</t>
  </si>
  <si>
    <t xml:space="preserve">Perimeter minimum flow leaving air temperature (neutral air) - </t>
  </si>
  <si>
    <t>Btu/hr (from the sensible heat equation)</t>
  </si>
  <si>
    <t>Total Heating Load</t>
  </si>
  <si>
    <t>Load components</t>
  </si>
  <si>
    <t xml:space="preserve">Space heating load - </t>
  </si>
  <si>
    <t>Btu/hr (non-concurrent with the space load and reheat load)</t>
  </si>
  <si>
    <t xml:space="preserve">Space heating plus peak reheat load - </t>
  </si>
  <si>
    <t xml:space="preserve">Space heating plus warm-up load - </t>
  </si>
  <si>
    <t>Size the heating system for this load</t>
  </si>
  <si>
    <t>Size the first floor FTR for this load</t>
  </si>
  <si>
    <t>Size the seconf floor FTR for this load</t>
  </si>
  <si>
    <t>Everything Standard</t>
  </si>
  <si>
    <t>Vulcan LV4-S, VC433, 1" line size, 4-1/4" x 3-5/8" fins, 32 fins per foot, 0.20 thick fins, 14" enclosure, single teir, 18" mounting height, 65°F entering air</t>
  </si>
  <si>
    <t>Catalog Rating, Btu/hr./ft.</t>
  </si>
  <si>
    <t>Average Water Temperature. °F</t>
  </si>
  <si>
    <t>Water Temperature Correction</t>
  </si>
  <si>
    <t>Entering Air Temperature Correction</t>
  </si>
  <si>
    <t>Flow Correction</t>
  </si>
  <si>
    <t>Mounting Height Correction</t>
  </si>
  <si>
    <t>Corrected Rating, Btu/hr./ft.</t>
  </si>
  <si>
    <t>Straight Line</t>
  </si>
  <si>
    <t>Offset</t>
  </si>
  <si>
    <t>Warmer Entering Air</t>
  </si>
  <si>
    <t>Vulcan LV4-S, VC433, 1" line size, 4-1/4" x 3-5/8" fins, 32 fins per foot, 0.20 thick fins, 14" enclosure, single teir, 18" mounting height, 70°F entering air</t>
  </si>
  <si>
    <t>Colder Entering Air</t>
  </si>
  <si>
    <t>Vulcan LV4-S, VC433, 1" line size, 4-1/4" x 3-5/8" fins, 32 fins per foot, 0.20 thick fins, 14" enclosure, single teir, 18" mounting height, 55°F entering air</t>
  </si>
  <si>
    <t>50% Flow Reduction</t>
  </si>
  <si>
    <t xml:space="preserve">Btu/foot of heated space, second floor - </t>
  </si>
  <si>
    <t xml:space="preserve">Percent of perimeter with an active FTR element - </t>
  </si>
  <si>
    <t xml:space="preserve">Target Btu/ft - </t>
  </si>
  <si>
    <t xml:space="preserve">Load - </t>
  </si>
  <si>
    <t>Btu/hr/ft</t>
  </si>
  <si>
    <t xml:space="preserve">Design average water temperature - </t>
  </si>
  <si>
    <t xml:space="preserve">Feet of active element required - </t>
  </si>
  <si>
    <t>ft</t>
  </si>
  <si>
    <t>Vulcan LV4-S, VC44, 1" line size, 4-1/4" x 4-1/4" fins, 40 fins per foot, 0.20 thick fins, 14" enclosure, single teir, 18" mounting height, 65°F entering air</t>
  </si>
  <si>
    <t>Vulcan LV4-S, VC44, 1" line size, 4-1/4" x 4-1/4" fins, 40 fins per foot, 0.20 thick fins, 14" enclosure, single teir, 18" mounting height, 70°F entering air</t>
  </si>
  <si>
    <t>Vulcan LV4-S, VC44, 1" line size, 4-1/4" x 4-1/4" fins, 40 fins per foot, 0.20 thick fins, 14" enclosure, single teir, 18" mounting height, 55°F entering air</t>
  </si>
  <si>
    <t>Vulcan LV4-S, VC433, 1" line size, 4-1/4" x 3-5/8" fins, 32 fins per foot, 0.20 thick fins, 14" enclosure, single teir, 18" mounting height</t>
  </si>
  <si>
    <t xml:space="preserve">gpm at 3 ft/sec velocity - </t>
  </si>
  <si>
    <t>gpm</t>
  </si>
  <si>
    <t xml:space="preserve">target ∆t, °F - </t>
  </si>
  <si>
    <t xml:space="preserve">Number of circuits required to hold 3 ft/sec - </t>
  </si>
  <si>
    <t xml:space="preserve">Target circuit count - </t>
  </si>
  <si>
    <t xml:space="preserve">Design supply temperature - </t>
  </si>
  <si>
    <t xml:space="preserve">Design return temperature - </t>
  </si>
  <si>
    <t>Selection and Circuiting Options</t>
  </si>
  <si>
    <t xml:space="preserve">First Floor - </t>
  </si>
  <si>
    <t>Load, Btu/hr</t>
  </si>
  <si>
    <t>Circuits</t>
  </si>
  <si>
    <t>∆t, °F</t>
  </si>
  <si>
    <t>Supply Temp., °F</t>
  </si>
  <si>
    <t>Return Temp, °F</t>
  </si>
  <si>
    <t xml:space="preserve">Second Floor - </t>
  </si>
  <si>
    <t xml:space="preserve">Total Building - </t>
  </si>
  <si>
    <t>Feet of Active Element</t>
  </si>
  <si>
    <t>gpm per circuit</t>
  </si>
  <si>
    <t>Total gpm</t>
  </si>
  <si>
    <t>Iteration</t>
  </si>
  <si>
    <t>Perimeter flow</t>
  </si>
  <si>
    <t xml:space="preserve">Perimeter minimum flow entering air temperature - </t>
  </si>
  <si>
    <t>MOA Percent</t>
  </si>
  <si>
    <t>Total Flow</t>
  </si>
  <si>
    <t xml:space="preserve">Assumed perimeter minimum flow rate on a design day - </t>
  </si>
  <si>
    <t xml:space="preserve">Mixed air temperature - </t>
  </si>
  <si>
    <t>Basis of Design</t>
  </si>
  <si>
    <t xml:space="preserve">System flow rate - </t>
  </si>
  <si>
    <t xml:space="preserve">MOA - </t>
  </si>
  <si>
    <t xml:space="preserve">Temperature where preheat would be required - </t>
  </si>
  <si>
    <t xml:space="preserve">Flow rate - </t>
  </si>
  <si>
    <t xml:space="preserve">Entering Air Temperature - </t>
  </si>
  <si>
    <t xml:space="preserve">Entering Water Temperature - </t>
  </si>
  <si>
    <t>Outdoor air temperature that results in a specific mixed air temperature of interest - Preheat Analyisis</t>
  </si>
  <si>
    <t>Outdoor air temperature that results in a specific mixed air temperature of interest - Reheat Analysis</t>
  </si>
  <si>
    <t>Mixed air temperature created by a known outdoor air percentage, a known outdoor air temperature, and a known return air temperature - Reheat Analysis</t>
  </si>
  <si>
    <t>Outdoor percentage based on outdoor air, return air, and supply air temperature - Reheat Analysis - Exterme Day</t>
  </si>
  <si>
    <t>Outdoor percentage based on outdoor air, return air, and supply air temperature - Reheat Analysis - Design Day</t>
  </si>
  <si>
    <t>MOA % on design and extreme days</t>
  </si>
  <si>
    <t xml:space="preserve">MOA % on an extreme day required to deliver design supply temperature  - </t>
  </si>
  <si>
    <t xml:space="preserve">MOA % on a design day required to deliver design supply temperature  - </t>
  </si>
  <si>
    <t xml:space="preserve">Assume the lowest MOA% that will be seen is  - </t>
  </si>
  <si>
    <t>cfm during warm-up</t>
  </si>
  <si>
    <t xml:space="preserve">Maximum face velocity - </t>
  </si>
  <si>
    <t>fpm</t>
  </si>
  <si>
    <t xml:space="preserve">Minimum coils face area - </t>
  </si>
  <si>
    <t xml:space="preserve">Coil height - </t>
  </si>
  <si>
    <t xml:space="preserve">Coil width - </t>
  </si>
  <si>
    <t>in</t>
  </si>
  <si>
    <t xml:space="preserve">Minimum coil width - </t>
  </si>
  <si>
    <t>Pressure drop analysis</t>
  </si>
  <si>
    <t xml:space="preserve">gpm - </t>
  </si>
  <si>
    <t xml:space="preserve">Maximum circuit length - </t>
  </si>
  <si>
    <t xml:space="preserve">Friction rate - </t>
  </si>
  <si>
    <t>ft.w.c/100 ft. of pipe</t>
  </si>
  <si>
    <t xml:space="preserve">Pipe and FTR element pressure drop - </t>
  </si>
  <si>
    <t>ft.w.c</t>
  </si>
  <si>
    <t xml:space="preserve">Fitting pressure drop - </t>
  </si>
  <si>
    <t>ft.w.c.</t>
  </si>
  <si>
    <t xml:space="preserve">Control valve pressure drop - </t>
  </si>
  <si>
    <t xml:space="preserve">Total circuit pressure drop - </t>
  </si>
  <si>
    <t xml:space="preserve">Target leaving Air Temperature - </t>
  </si>
  <si>
    <t xml:space="preserve">Target Capacity - </t>
  </si>
  <si>
    <t xml:space="preserve">Target Water Flow Rate - </t>
  </si>
  <si>
    <t xml:space="preserve">Target Leaving Water Temperature - </t>
  </si>
  <si>
    <t xml:space="preserve">Actual Capacity - </t>
  </si>
  <si>
    <t xml:space="preserve">Actual Flow rate - </t>
  </si>
  <si>
    <t xml:space="preserve">Actual Leaving Water Temperature - </t>
  </si>
  <si>
    <t xml:space="preserve">Warm-up Coil - </t>
  </si>
  <si>
    <t>N/A</t>
  </si>
  <si>
    <t xml:space="preserve">Actual Leaving Air Temperature - </t>
  </si>
  <si>
    <t xml:space="preserve">Design flow rate - </t>
  </si>
  <si>
    <t>Pump Head Estimate</t>
  </si>
  <si>
    <t xml:space="preserve">Typical FTR Circuit - </t>
  </si>
  <si>
    <t>3" lines the length of the building and back plus the width of the building and back</t>
  </si>
  <si>
    <t>ft.w.c./100 ft.</t>
  </si>
  <si>
    <t xml:space="preserve">Distribution mains to and from FTR Circuits - </t>
  </si>
  <si>
    <t xml:space="preserve">Fittings - </t>
  </si>
  <si>
    <t xml:space="preserve">Heat Exchanger - </t>
  </si>
  <si>
    <t xml:space="preserve">Safety factor - </t>
  </si>
  <si>
    <t xml:space="preserve">Total - </t>
  </si>
  <si>
    <t>Selection</t>
  </si>
  <si>
    <t>Bell and Gossett 2AD-es</t>
  </si>
  <si>
    <t xml:space="preserve">Flow - </t>
  </si>
  <si>
    <t xml:space="preserve">Head - </t>
  </si>
  <si>
    <t xml:space="preserve">Bhp - </t>
  </si>
  <si>
    <t xml:space="preserve">Efficiency - </t>
  </si>
  <si>
    <t xml:space="preserve">Speed - </t>
  </si>
  <si>
    <t xml:space="preserve">Motor hp - </t>
  </si>
  <si>
    <t xml:space="preserve">pounds per hour - </t>
  </si>
  <si>
    <t xml:space="preserve">pounds per minute - </t>
  </si>
  <si>
    <t xml:space="preserve">pounds per cubic foot - </t>
  </si>
  <si>
    <t xml:space="preserve">gallons per cubic foot - </t>
  </si>
  <si>
    <t xml:space="preserve">gallons per minute - </t>
  </si>
  <si>
    <t>Water Side</t>
  </si>
  <si>
    <t>Building HVAC Zones</t>
  </si>
  <si>
    <t xml:space="preserve">1st Floor FTR - </t>
  </si>
  <si>
    <t>North perimeter</t>
  </si>
  <si>
    <t>East perimeter</t>
  </si>
  <si>
    <t>South perimeter</t>
  </si>
  <si>
    <t>West perimeter</t>
  </si>
  <si>
    <t>Conference Room</t>
  </si>
  <si>
    <t xml:space="preserve">1st Floor VAV Cooling Only - </t>
  </si>
  <si>
    <t xml:space="preserve">1st Floor VAV Reheat - </t>
  </si>
  <si>
    <t>ft. (North-South)</t>
  </si>
  <si>
    <t>ft. (East-West)</t>
  </si>
  <si>
    <t xml:space="preserve">East perimeter </t>
  </si>
  <si>
    <t xml:space="preserve">2nd Floor FTR - </t>
  </si>
  <si>
    <t xml:space="preserve">2nd Floor VAV Reheat - </t>
  </si>
  <si>
    <t>First floor mechanical room for the AHU, heat exchanger and pumps</t>
  </si>
  <si>
    <t>Air cooled condenser located on grade next to the parking lot</t>
  </si>
  <si>
    <t>Steam from a district steam system reduced to 5 psi at the building service entrance in the mechanical room</t>
  </si>
  <si>
    <t>Heating Load Summary (see First Floor FTR and Second Floor FTR tabs for details on the finned tube radiation)</t>
  </si>
  <si>
    <t xml:space="preserve">Typical flow rate (based on a long side perimeter zone) - </t>
  </si>
  <si>
    <t>sq.ft. at 500 fpm</t>
  </si>
  <si>
    <t xml:space="preserve">Nominal size - </t>
  </si>
  <si>
    <t xml:space="preserve">Entering water temperature - Design day - </t>
  </si>
  <si>
    <t xml:space="preserve">Typical leaving water temperature - Design day - </t>
  </si>
  <si>
    <t>°F (from coil model)</t>
  </si>
  <si>
    <t>Based on a long perimeter zone</t>
  </si>
  <si>
    <t xml:space="preserve">Entering air temperature - </t>
  </si>
  <si>
    <t xml:space="preserve">Leaving air temperature - </t>
  </si>
  <si>
    <t xml:space="preserve">Nominal face velocity - </t>
  </si>
  <si>
    <t xml:space="preserve">Entering water temperature - </t>
  </si>
  <si>
    <t xml:space="preserve">Height - </t>
  </si>
  <si>
    <t xml:space="preserve">Width - </t>
  </si>
  <si>
    <t>inches</t>
  </si>
  <si>
    <t>Design heating day</t>
  </si>
  <si>
    <t>Summer day, reheat only, 90°F EWT, Maximum flow</t>
  </si>
  <si>
    <t>Summer day, reheat only, 110°F EWT, Maximum flow</t>
  </si>
  <si>
    <t>Summer day, reheat only, 130°F EWT Maximum flow</t>
  </si>
  <si>
    <t>Summer day, reheat only, 150°F EWT Maximum flow</t>
  </si>
  <si>
    <t>Summer day, reheat only, 90°F EWT, Minimum flow</t>
  </si>
  <si>
    <t>Summer day, reheat only, 110°F EWT, Minimum flow</t>
  </si>
  <si>
    <t>Summer day, reheat only, 130°F EWT Minimum flow</t>
  </si>
  <si>
    <t>Summer day, reheat only, 150°F EWT Minimum flow</t>
  </si>
  <si>
    <t>fpm at maximum flow</t>
  </si>
  <si>
    <t xml:space="preserve">Nominal number of people in the zone - </t>
  </si>
  <si>
    <t xml:space="preserve">Nominal zone squarefootage - </t>
  </si>
  <si>
    <t xml:space="preserve">Nominal sq.ft. per person - </t>
  </si>
  <si>
    <t>sq.ft. per person</t>
  </si>
  <si>
    <t>cfm per person</t>
  </si>
  <si>
    <t xml:space="preserve">Nominal ventilation rate - </t>
  </si>
  <si>
    <t xml:space="preserve">MOA % - </t>
  </si>
  <si>
    <t xml:space="preserve">Ventilation requirement - </t>
  </si>
  <si>
    <t xml:space="preserve">Minimum flow - </t>
  </si>
  <si>
    <t>Design day, Maximum flow</t>
  </si>
  <si>
    <t>Design day, Minimum flow</t>
  </si>
  <si>
    <t>EWT,°F</t>
  </si>
  <si>
    <t>LAT,°F at Maximum Flow</t>
  </si>
  <si>
    <t>LAT,°F at Minimum Flow</t>
  </si>
  <si>
    <t xml:space="preserve">gpm per square foot - </t>
  </si>
  <si>
    <t xml:space="preserve">gpm from selection program - </t>
  </si>
  <si>
    <t>gpm/sq.ft</t>
  </si>
  <si>
    <t xml:space="preserve">Floor area - </t>
  </si>
  <si>
    <t xml:space="preserve">Nominal gpm per floor - </t>
  </si>
  <si>
    <t xml:space="preserve">Line size - </t>
  </si>
  <si>
    <t>Data generated using 3EPlus</t>
  </si>
  <si>
    <t>Insulation thickness</t>
  </si>
  <si>
    <t>70°F Water</t>
  </si>
  <si>
    <t>Surface Temperature, °F</t>
  </si>
  <si>
    <t>Heat Loss, Btu/hr/ft</t>
  </si>
  <si>
    <t xml:space="preserve">Ambient Temperature - </t>
  </si>
  <si>
    <t>90°F Water</t>
  </si>
  <si>
    <t>110°F Water</t>
  </si>
  <si>
    <t>130°F Water</t>
  </si>
  <si>
    <t>150°F Water</t>
  </si>
  <si>
    <t>170°F Water</t>
  </si>
  <si>
    <t>190°F Water</t>
  </si>
  <si>
    <t>210°F Water</t>
  </si>
  <si>
    <t>350°F Steam</t>
  </si>
  <si>
    <t>280°F Steam</t>
  </si>
  <si>
    <t xml:space="preserve">Slab to slab height - </t>
  </si>
  <si>
    <t>feet finshed floor to finished floor</t>
  </si>
  <si>
    <t xml:space="preserve">Slab thickness - </t>
  </si>
  <si>
    <t>Elev.</t>
  </si>
  <si>
    <t>Stairs Down</t>
  </si>
  <si>
    <t>Main Conference Room</t>
  </si>
  <si>
    <t>Covered Entry</t>
  </si>
  <si>
    <t>Lobby and Reception</t>
  </si>
  <si>
    <t>Mechancial/Electrical</t>
  </si>
  <si>
    <t>Division Chief</t>
  </si>
  <si>
    <t>Assistant Division Chief</t>
  </si>
  <si>
    <t>Office Admin.</t>
  </si>
  <si>
    <t>Deputy Assistant Planner</t>
  </si>
  <si>
    <t>Assistant Deputy Planner</t>
  </si>
  <si>
    <t>Resource Manager</t>
  </si>
  <si>
    <t>Copy Room</t>
  </si>
  <si>
    <t>Kitchenette/Break Area</t>
  </si>
  <si>
    <t>Stairs Up</t>
  </si>
  <si>
    <t>Open Office - Signage Planning and Development</t>
  </si>
  <si>
    <t>Men's Room</t>
  </si>
  <si>
    <t>Lady's Room</t>
  </si>
  <si>
    <t>Assistant Chief Bureaucrat</t>
  </si>
  <si>
    <t>Chief Bureaucrat</t>
  </si>
  <si>
    <t>Executive Assistant to the Chief Bureaucrat</t>
  </si>
  <si>
    <t>Executive Assistant to the Assistant Chief Bureaucrat</t>
  </si>
  <si>
    <t>Minion</t>
  </si>
  <si>
    <t>Chief Minion</t>
  </si>
  <si>
    <t>Associate Assistant to the Executive Assistant …</t>
  </si>
  <si>
    <t>Director of Minions</t>
  </si>
  <si>
    <t>Signage Shop</t>
  </si>
  <si>
    <t>Chief Political Correctness Officer</t>
  </si>
  <si>
    <t>Office of Non-offensive References</t>
  </si>
  <si>
    <t>Font Development Officer</t>
  </si>
  <si>
    <t>Font Management Officer</t>
  </si>
  <si>
    <t xml:space="preserve"> Director of Fonts and Other Things that Matter</t>
  </si>
  <si>
    <t>Director of Bureacratic Nightmares</t>
  </si>
  <si>
    <t>Director of Bureacratic Nightmare Resolution</t>
  </si>
  <si>
    <t>Deputy Assistant Planning</t>
  </si>
  <si>
    <t>Tel/Com</t>
  </si>
  <si>
    <t>Office of Essential Planning and Development</t>
  </si>
  <si>
    <t>Office of Non-essential Planning and Development</t>
  </si>
  <si>
    <t>Conflict Resultion Officer</t>
  </si>
  <si>
    <t>Mount Engineering</t>
  </si>
  <si>
    <t>First Floor</t>
  </si>
  <si>
    <t>Second Floor</t>
  </si>
  <si>
    <t>Open Office Cubicles - Division of Departmental Planning and Compartmentalization</t>
  </si>
  <si>
    <t>Open Office Cubicals  -   Department of Upper Echelons</t>
  </si>
  <si>
    <t>Storage</t>
  </si>
  <si>
    <t>Open Office Cubicals</t>
  </si>
  <si>
    <t>= approximately 5 feet by 5 feet</t>
  </si>
  <si>
    <t>+</t>
  </si>
  <si>
    <t>Office of Bureacratic Mischief</t>
  </si>
  <si>
    <t>North</t>
  </si>
  <si>
    <t>Geometric Shape Development</t>
  </si>
  <si>
    <t>First Floor - East FTR Zone</t>
  </si>
  <si>
    <t>First Floor - North FTR Zone</t>
  </si>
  <si>
    <t>First Floor - South FTR Zone</t>
  </si>
  <si>
    <t>First Floor - West FTR Zone</t>
  </si>
  <si>
    <t>Second Floor - North FTR Zone</t>
  </si>
  <si>
    <t>Second Floor - East FTR Zone</t>
  </si>
  <si>
    <t>Second Floor - South FTR Zone</t>
  </si>
  <si>
    <t>Second Floor - West FTR Zone</t>
  </si>
  <si>
    <t>Thermostat Location</t>
  </si>
  <si>
    <t>Open Office Cubicals -   Department of Middle Management</t>
  </si>
  <si>
    <t>Size the second floor FTR for this load</t>
  </si>
  <si>
    <t>2015 rennovation upgraded the controls to DDC</t>
  </si>
  <si>
    <t>1979 rennovation replaced the original constant volume reheat AHU with a VAV reheat system</t>
  </si>
  <si>
    <t>Trends show:</t>
  </si>
  <si>
    <t>HHW system locks out above 65°F</t>
  </si>
  <si>
    <t>HHW system controls for a constant 170°F supply temperature</t>
  </si>
  <si>
    <t>AHU runs 24/7 to maintain conditions in the server room</t>
  </si>
  <si>
    <t>Economizer is non-integrated</t>
  </si>
  <si>
    <t>Occupant interviews indicate:</t>
  </si>
  <si>
    <t>People are more comfortable during extreme conditions than during milder conditions and swing seasons</t>
  </si>
  <si>
    <t>Confernce spaces and core areas are really cold in the summer</t>
  </si>
  <si>
    <t>Tendency to over-heat and see temperature swings in milder weather until cooling system comes on line</t>
  </si>
  <si>
    <t>FTR zone thermostat locations set the conditions for other areas and sometimes not everyone is comortable, even if the person with the zone stat is</t>
  </si>
  <si>
    <t>Elv. Mach.</t>
  </si>
  <si>
    <t xml:space="preserve">Total load - </t>
  </si>
  <si>
    <t xml:space="preserve">Total gpm - </t>
  </si>
  <si>
    <t xml:space="preserve">Gpm per boiler - </t>
  </si>
  <si>
    <t xml:space="preserve">Per boiler - </t>
  </si>
  <si>
    <t xml:space="preserve">Laars model - </t>
  </si>
  <si>
    <t xml:space="preserve">Input rating - </t>
  </si>
  <si>
    <t xml:space="preserve">Output rating - </t>
  </si>
  <si>
    <t xml:space="preserve">Leaving water temperature - </t>
  </si>
  <si>
    <t xml:space="preserve">Temperature rise - </t>
  </si>
  <si>
    <t>°F (23°F required at design conditions)</t>
  </si>
  <si>
    <t xml:space="preserve">Burner motor - </t>
  </si>
  <si>
    <t>hp</t>
  </si>
  <si>
    <t xml:space="preserve">Phase - </t>
  </si>
  <si>
    <t>vac</t>
  </si>
  <si>
    <t xml:space="preserve">Voltage - </t>
  </si>
  <si>
    <t xml:space="preserve">Aerco Multiflex model number - </t>
  </si>
  <si>
    <t xml:space="preserve">Pressure drop - </t>
  </si>
  <si>
    <t>MLX EXT 600</t>
  </si>
  <si>
    <t>(Varies with firing rate and return water temperature)</t>
  </si>
  <si>
    <t>°F (Design OAT;  reset;  minimum is 90°F for summer time operation)</t>
  </si>
  <si>
    <t xml:space="preserve">Amperage - </t>
  </si>
  <si>
    <t>FLA</t>
  </si>
  <si>
    <t xml:space="preserve">Turn-down - </t>
  </si>
  <si>
    <t>14:1</t>
  </si>
  <si>
    <t>Distribution Mains</t>
  </si>
  <si>
    <t>Boiler Pumps - Condensing Boilers</t>
  </si>
  <si>
    <t xml:space="preserve">Boiler - </t>
  </si>
  <si>
    <t xml:space="preserve">Pipe - </t>
  </si>
  <si>
    <t xml:space="preserve">Safety Factor - </t>
  </si>
  <si>
    <t>Boiler Pumps - Non-condensing Boilers</t>
  </si>
  <si>
    <t>Served by transfer air</t>
  </si>
  <si>
    <t>First Floor East</t>
  </si>
  <si>
    <t>First Floor North East</t>
  </si>
  <si>
    <t>First Floor East Core</t>
  </si>
  <si>
    <t>First Floor North West</t>
  </si>
  <si>
    <t>First Floor West</t>
  </si>
  <si>
    <t>First Floor South East</t>
  </si>
  <si>
    <t>First Floor South West</t>
  </si>
  <si>
    <t>First Floor Core West</t>
  </si>
  <si>
    <t>Minimum Flow, cfm</t>
  </si>
  <si>
    <t>Maximum flow, cfm</t>
  </si>
  <si>
    <t>Number of Occupants</t>
  </si>
  <si>
    <t>Square Feet (from floor plan)</t>
  </si>
  <si>
    <t>Second Floor North East</t>
  </si>
  <si>
    <t>Second Floor North West</t>
  </si>
  <si>
    <t>Second Floor East</t>
  </si>
  <si>
    <t>Second Floor West</t>
  </si>
  <si>
    <t>Second Floor South East</t>
  </si>
  <si>
    <t>Second Floor South West</t>
  </si>
  <si>
    <t>Second Floor East Core</t>
  </si>
  <si>
    <t>Second Floor Core West</t>
  </si>
  <si>
    <t>Reheat gpm</t>
  </si>
  <si>
    <t>North East perimeter</t>
  </si>
  <si>
    <t>North West perimeter</t>
  </si>
  <si>
    <t>South East perimeter</t>
  </si>
  <si>
    <t>South West perimeter</t>
  </si>
  <si>
    <t>East core</t>
  </si>
  <si>
    <t>West core</t>
  </si>
  <si>
    <t>Check</t>
  </si>
  <si>
    <t xml:space="preserve">Unconditioned - </t>
  </si>
  <si>
    <t>Mechanical Room</t>
  </si>
  <si>
    <t xml:space="preserve">Entry </t>
  </si>
  <si>
    <t>1st Fl. Elev.</t>
  </si>
  <si>
    <t>2nd Fl. Elev.</t>
  </si>
  <si>
    <t>2nd Floor RR</t>
  </si>
  <si>
    <t>1st Floor RR</t>
  </si>
  <si>
    <t>Stairs (2nd Fl)</t>
  </si>
  <si>
    <t>Notes</t>
  </si>
  <si>
    <t xml:space="preserve">Total square feet - </t>
  </si>
  <si>
    <t xml:space="preserve">Total reheat flow rate - </t>
  </si>
  <si>
    <t xml:space="preserve">Design occupant count - </t>
  </si>
  <si>
    <t xml:space="preserve">Design MOA - </t>
  </si>
  <si>
    <t xml:space="preserve">Conference room  cfm/occ. - </t>
  </si>
  <si>
    <t xml:space="preserve">1st Fl. Conf Rm. Occ. - </t>
  </si>
  <si>
    <t xml:space="preserve">2nd Fl. Conf Rm. Occ. - </t>
  </si>
  <si>
    <t xml:space="preserve">Conditioned square feet - </t>
  </si>
  <si>
    <t>1.     Occupants based on room function.</t>
  </si>
  <si>
    <t>2.     Minimum flow proated on occupant basis</t>
  </si>
  <si>
    <t>Minimum OA Flow, cfm</t>
  </si>
  <si>
    <t>3.     Maximum flow prorated a conditioned square foot basis.</t>
  </si>
  <si>
    <t>4.     Reheat gpm prorated on a conditioned square foot basis.</t>
  </si>
  <si>
    <t xml:space="preserve">5.  Open office cubicle size - </t>
  </si>
  <si>
    <t xml:space="preserve">Length - </t>
  </si>
  <si>
    <t xml:space="preserve">Walkway per cubicle  - </t>
  </si>
  <si>
    <t>Titus Terminal Unit Size. Inches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</si>
</sst>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
    <numFmt numFmtId="165" formatCode="#,##0.0000"/>
    <numFmt numFmtId="166" formatCode="dddd\ mmmm\ dd\,\ yyyy"/>
    <numFmt numFmtId="167" formatCode="#,##0.0"/>
    <numFmt numFmtId="168" formatCode="0.0%"/>
  </numFmts>
  <fonts count="12" x14ac:knownFonts="1">
    <font>
      <sz val="12"/>
      <name val="Comic Sans MS"/>
      <family val="4"/>
    </font>
    <font>
      <sz val="12"/>
      <name val="Comic Sans MS"/>
      <family val="4"/>
    </font>
    <font>
      <sz val="12"/>
      <color indexed="8"/>
      <name val="Comic Sans MS"/>
      <family val="4"/>
    </font>
    <font>
      <i/>
      <sz val="12"/>
      <color indexed="8"/>
      <name val="Times New Roman"/>
      <family val="1"/>
    </font>
    <font>
      <b/>
      <sz val="12"/>
      <color indexed="8"/>
      <name val="Comic Sans MS"/>
      <family val="4"/>
    </font>
    <font>
      <sz val="12"/>
      <color indexed="8"/>
      <name val="Comic Sans MS"/>
      <family val="4"/>
    </font>
    <font>
      <i/>
      <sz val="12"/>
      <name val="Comic Sans MS"/>
      <family val="4"/>
    </font>
    <font>
      <i/>
      <sz val="12"/>
      <color indexed="8"/>
      <name val="Comic Sans MS"/>
      <family val="4"/>
    </font>
    <font>
      <vertAlign val="subscript"/>
      <sz val="12"/>
      <color indexed="8"/>
      <name val="Comic Sans MS"/>
      <family val="4"/>
    </font>
    <font>
      <u/>
      <sz val="11"/>
      <color theme="10"/>
      <name val="Calibri"/>
      <family val="2"/>
      <scheme val="minor"/>
    </font>
    <font>
      <u/>
      <sz val="11"/>
      <color theme="10"/>
      <name val="Comic Sans MS"/>
      <family val="4"/>
    </font>
    <font>
      <b/>
      <i/>
      <sz val="12"/>
      <color theme="0"/>
      <name val="Comic Sans MS"/>
      <family val="4"/>
    </font>
  </fonts>
  <fills count="14">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rgb="FF99CCFF"/>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s>
  <borders count="51">
    <border>
      <left/>
      <right/>
      <top/>
      <bottom/>
      <diagonal/>
    </border>
    <border>
      <left style="medium">
        <color auto="1"/>
      </left>
      <right/>
      <top/>
      <bottom/>
      <diagonal/>
    </border>
    <border>
      <left/>
      <right style="medium">
        <color auto="1"/>
      </right>
      <top/>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style="thick">
        <color auto="1"/>
      </top>
      <bottom/>
      <diagonal/>
    </border>
    <border>
      <left style="medium">
        <color auto="1"/>
      </left>
      <right/>
      <top style="thick">
        <color auto="1"/>
      </top>
      <bottom/>
      <diagonal/>
    </border>
    <border>
      <left style="medium">
        <color auto="1"/>
      </left>
      <right/>
      <top/>
      <bottom style="thick">
        <color auto="1"/>
      </bottom>
      <diagonal/>
    </border>
    <border>
      <left/>
      <right style="medium">
        <color auto="1"/>
      </right>
      <top/>
      <bottom style="thick">
        <color auto="1"/>
      </bottom>
      <diagonal/>
    </border>
    <border>
      <left style="thick">
        <color auto="1"/>
      </left>
      <right/>
      <top style="medium">
        <color auto="1"/>
      </top>
      <bottom/>
      <diagonal/>
    </border>
    <border>
      <left style="thick">
        <color auto="1"/>
      </left>
      <right/>
      <top/>
      <bottom style="medium">
        <color auto="1"/>
      </bottom>
      <diagonal/>
    </border>
    <border>
      <left style="medium">
        <color auto="1"/>
      </left>
      <right style="medium">
        <color auto="1"/>
      </right>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medium">
        <color auto="1"/>
      </left>
      <right/>
      <top style="medium">
        <color auto="1"/>
      </top>
      <bottom style="medium">
        <color auto="1"/>
      </bottom>
      <diagonal/>
    </border>
    <border>
      <left style="medium">
        <color auto="1"/>
      </left>
      <right style="medium">
        <color auto="1"/>
      </right>
      <top/>
      <bottom style="thick">
        <color auto="1"/>
      </bottom>
      <diagonal/>
    </border>
    <border>
      <left style="medium">
        <color auto="1"/>
      </left>
      <right style="medium">
        <color auto="1"/>
      </right>
      <top style="medium">
        <color auto="1"/>
      </top>
      <bottom/>
      <diagonal/>
    </border>
    <border>
      <left/>
      <right style="thick">
        <color auto="1"/>
      </right>
      <top/>
      <bottom style="medium">
        <color auto="1"/>
      </bottom>
      <diagonal/>
    </border>
    <border>
      <left/>
      <right style="thick">
        <color auto="1"/>
      </right>
      <top style="medium">
        <color auto="1"/>
      </top>
      <bottom/>
      <diagonal/>
    </border>
    <border>
      <left style="thick">
        <color auto="1"/>
      </left>
      <right style="thick">
        <color auto="1"/>
      </right>
      <top style="thick">
        <color auto="1"/>
      </top>
      <bottom style="thick">
        <color auto="1"/>
      </bottom>
      <diagonal/>
    </border>
    <border>
      <left style="medium">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right style="thick">
        <color auto="1"/>
      </right>
      <top style="medium">
        <color auto="1"/>
      </top>
      <bottom style="medium">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diagonalUp="1">
      <left/>
      <right/>
      <top/>
      <bottom/>
      <diagonal style="thick">
        <color auto="1"/>
      </diagonal>
    </border>
    <border>
      <left style="medium">
        <color theme="1"/>
      </left>
      <right/>
      <top style="thick">
        <color auto="1"/>
      </top>
      <bottom/>
      <diagonal/>
    </border>
    <border>
      <left style="medium">
        <color theme="1"/>
      </left>
      <right/>
      <top/>
      <bottom/>
      <diagonal/>
    </border>
    <border>
      <left/>
      <right style="medium">
        <color theme="1"/>
      </right>
      <top/>
      <bottom/>
      <diagonal/>
    </border>
    <border>
      <left/>
      <right style="medium">
        <color theme="1"/>
      </right>
      <top style="thick">
        <color auto="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s>
  <cellStyleXfs count="4">
    <xf numFmtId="0" fontId="0" fillId="0" borderId="0">
      <alignment vertical="top"/>
    </xf>
    <xf numFmtId="0" fontId="1" fillId="0" borderId="0">
      <alignment vertical="top"/>
    </xf>
    <xf numFmtId="0" fontId="1" fillId="0" borderId="0">
      <alignment vertical="top"/>
    </xf>
    <xf numFmtId="0" fontId="9" fillId="0" borderId="0" applyNumberFormat="0" applyFill="0" applyBorder="0" applyAlignment="0" applyProtection="0"/>
  </cellStyleXfs>
  <cellXfs count="232">
    <xf numFmtId="0" fontId="0" fillId="0" borderId="0" xfId="0">
      <alignment vertical="top"/>
    </xf>
    <xf numFmtId="0" fontId="1" fillId="0" borderId="0" xfId="1">
      <alignment vertical="top"/>
    </xf>
    <xf numFmtId="3" fontId="1" fillId="0" borderId="0" xfId="1" applyNumberFormat="1">
      <alignment vertical="top"/>
    </xf>
    <xf numFmtId="0" fontId="2" fillId="0" borderId="0" xfId="1" applyFont="1" applyProtection="1">
      <alignment vertical="top"/>
    </xf>
    <xf numFmtId="0" fontId="3" fillId="0" borderId="0" xfId="1" applyFont="1" applyAlignment="1" applyProtection="1">
      <alignment horizontal="left" vertical="top"/>
    </xf>
    <xf numFmtId="3" fontId="3" fillId="0" borderId="0" xfId="1" applyNumberFormat="1" applyFont="1" applyProtection="1">
      <alignment vertical="top"/>
    </xf>
    <xf numFmtId="0" fontId="4" fillId="0" borderId="0" xfId="1" applyFont="1" applyAlignment="1" applyProtection="1">
      <alignment horizontal="left" vertical="top"/>
    </xf>
    <xf numFmtId="0" fontId="5" fillId="0" borderId="0" xfId="0" applyFont="1" applyFill="1" applyAlignment="1" applyProtection="1"/>
    <xf numFmtId="4" fontId="5" fillId="0" borderId="0" xfId="0" applyNumberFormat="1" applyFont="1" applyFill="1" applyAlignment="1">
      <alignment horizontal="center" vertical="top"/>
    </xf>
    <xf numFmtId="3" fontId="5" fillId="0" borderId="0" xfId="0" applyNumberFormat="1" applyFont="1" applyFill="1" applyAlignment="1">
      <alignment horizontal="center" vertical="top"/>
    </xf>
    <xf numFmtId="165" fontId="5" fillId="0" borderId="0" xfId="0" applyNumberFormat="1" applyFont="1" applyFill="1" applyAlignment="1">
      <alignment horizontal="center" vertical="top"/>
    </xf>
    <xf numFmtId="0" fontId="0" fillId="0" borderId="0" xfId="0" applyFont="1">
      <alignment vertical="top"/>
    </xf>
    <xf numFmtId="0" fontId="5" fillId="0" borderId="0" xfId="0" applyFont="1" applyFill="1">
      <alignment vertical="top"/>
    </xf>
    <xf numFmtId="0" fontId="5" fillId="0" borderId="0" xfId="0" applyFont="1" applyFill="1" applyAlignment="1">
      <alignment horizontal="center" vertical="top"/>
    </xf>
    <xf numFmtId="164" fontId="5" fillId="0" borderId="0" xfId="0" applyNumberFormat="1" applyFont="1" applyFill="1">
      <alignment vertical="top"/>
    </xf>
    <xf numFmtId="0" fontId="1" fillId="0" borderId="0" xfId="1" applyAlignment="1">
      <alignment horizontal="right" vertical="top"/>
    </xf>
    <xf numFmtId="0" fontId="6" fillId="0" borderId="0" xfId="1" applyFont="1" applyAlignment="1">
      <alignment horizontal="left" vertical="top"/>
    </xf>
    <xf numFmtId="0" fontId="1" fillId="0" borderId="0" xfId="1" applyAlignment="1">
      <alignment horizontal="left" vertical="top" wrapText="1"/>
    </xf>
    <xf numFmtId="3" fontId="5" fillId="0" borderId="0" xfId="1" applyNumberFormat="1" applyFont="1" applyProtection="1">
      <alignment vertical="top"/>
    </xf>
    <xf numFmtId="0" fontId="5" fillId="0" borderId="0" xfId="0" applyFont="1" applyFill="1" applyAlignment="1">
      <alignment horizontal="left" vertical="top"/>
    </xf>
    <xf numFmtId="0" fontId="1" fillId="0" borderId="0" xfId="1" applyFill="1">
      <alignment vertical="top"/>
    </xf>
    <xf numFmtId="3" fontId="1" fillId="0" borderId="0" xfId="1" applyNumberFormat="1" applyFill="1">
      <alignment vertical="top"/>
    </xf>
    <xf numFmtId="0" fontId="2" fillId="0" borderId="0" xfId="1" applyFont="1" applyFill="1" applyProtection="1">
      <alignment vertical="top"/>
    </xf>
    <xf numFmtId="166" fontId="0" fillId="0" borderId="0" xfId="0" applyNumberFormat="1" applyAlignment="1">
      <alignment horizontal="left" vertical="top"/>
    </xf>
    <xf numFmtId="0" fontId="2" fillId="0" borderId="0" xfId="0" applyFont="1" applyFill="1" applyAlignment="1">
      <alignment horizontal="left" vertical="top"/>
    </xf>
    <xf numFmtId="3" fontId="2" fillId="0" borderId="0" xfId="0" applyNumberFormat="1" applyFont="1" applyFill="1" applyAlignment="1">
      <alignment horizontal="left" vertical="top"/>
    </xf>
    <xf numFmtId="3" fontId="0" fillId="0" borderId="0" xfId="0" applyNumberFormat="1" applyFont="1">
      <alignment vertical="top"/>
    </xf>
    <xf numFmtId="3" fontId="2" fillId="0" borderId="0" xfId="0" applyNumberFormat="1" applyFont="1" applyFill="1" applyAlignment="1">
      <alignment horizontal="right" vertical="top"/>
    </xf>
    <xf numFmtId="3" fontId="5" fillId="0" borderId="0" xfId="0" applyNumberFormat="1" applyFont="1" applyFill="1" applyAlignment="1">
      <alignment horizontal="right" vertical="top"/>
    </xf>
    <xf numFmtId="4" fontId="5" fillId="0" borderId="0" xfId="0" applyNumberFormat="1" applyFont="1" applyFill="1" applyAlignment="1">
      <alignment horizontal="right" vertical="top"/>
    </xf>
    <xf numFmtId="9" fontId="5" fillId="0" borderId="0" xfId="0" applyNumberFormat="1" applyFont="1" applyFill="1" applyAlignment="1">
      <alignment horizontal="right" vertical="top"/>
    </xf>
    <xf numFmtId="167" fontId="5" fillId="0" borderId="0" xfId="0" applyNumberFormat="1" applyFont="1" applyFill="1" applyAlignment="1">
      <alignment horizontal="right" vertical="top"/>
    </xf>
    <xf numFmtId="167" fontId="1" fillId="2" borderId="0" xfId="2" applyNumberFormat="1" applyFill="1">
      <alignment vertical="top"/>
    </xf>
    <xf numFmtId="0" fontId="1" fillId="0" borderId="0" xfId="1" applyFont="1" applyAlignment="1">
      <alignment horizontal="right" vertical="top"/>
    </xf>
    <xf numFmtId="3" fontId="1" fillId="2" borderId="0" xfId="2" applyNumberFormat="1" applyFill="1">
      <alignment vertical="top"/>
    </xf>
    <xf numFmtId="9" fontId="1" fillId="2" borderId="0" xfId="2" applyNumberFormat="1" applyFill="1">
      <alignment vertical="top"/>
    </xf>
    <xf numFmtId="3" fontId="1" fillId="3" borderId="0" xfId="1" applyNumberFormat="1" applyFill="1" applyAlignment="1">
      <alignment vertical="top"/>
    </xf>
    <xf numFmtId="167" fontId="1" fillId="4" borderId="0" xfId="2" applyNumberFormat="1" applyFill="1">
      <alignment vertical="top"/>
    </xf>
    <xf numFmtId="167" fontId="1" fillId="3" borderId="0" xfId="1" applyNumberFormat="1" applyFill="1" applyAlignment="1">
      <alignment horizontal="right" vertical="top"/>
    </xf>
    <xf numFmtId="167" fontId="1" fillId="4" borderId="0" xfId="1" applyNumberFormat="1" applyFill="1" applyAlignment="1">
      <alignment horizontal="right" vertical="top"/>
    </xf>
    <xf numFmtId="167" fontId="1" fillId="6" borderId="0" xfId="1" applyNumberFormat="1" applyFill="1" applyAlignment="1">
      <alignment horizontal="right" vertical="top"/>
    </xf>
    <xf numFmtId="167" fontId="1" fillId="4" borderId="0" xfId="1" applyNumberFormat="1" applyFont="1" applyFill="1" applyAlignment="1">
      <alignment horizontal="right" vertical="top"/>
    </xf>
    <xf numFmtId="0" fontId="1" fillId="0" borderId="0" xfId="2" applyFont="1">
      <alignment vertical="top"/>
    </xf>
    <xf numFmtId="4" fontId="2" fillId="0" borderId="0" xfId="2" applyNumberFormat="1" applyFont="1" applyFill="1" applyAlignment="1">
      <alignment horizontal="center" vertical="top"/>
    </xf>
    <xf numFmtId="165" fontId="2" fillId="0" borderId="0" xfId="2" applyNumberFormat="1" applyFont="1" applyFill="1" applyAlignment="1">
      <alignment horizontal="center" vertical="top"/>
    </xf>
    <xf numFmtId="3" fontId="2" fillId="0" borderId="0" xfId="2" applyNumberFormat="1" applyFont="1" applyFill="1" applyAlignment="1">
      <alignment horizontal="center" vertical="top"/>
    </xf>
    <xf numFmtId="0" fontId="2" fillId="0" borderId="0" xfId="2" applyFont="1" applyFill="1" applyAlignment="1">
      <alignment horizontal="center" vertical="top"/>
    </xf>
    <xf numFmtId="0" fontId="2" fillId="0" borderId="0" xfId="2" applyFont="1" applyFill="1" applyAlignment="1">
      <alignment horizontal="left" vertical="top"/>
    </xf>
    <xf numFmtId="164" fontId="2" fillId="0" borderId="0" xfId="2" applyNumberFormat="1" applyFont="1" applyFill="1">
      <alignment vertical="top"/>
    </xf>
    <xf numFmtId="0" fontId="10" fillId="0" borderId="0" xfId="3" applyFont="1"/>
    <xf numFmtId="0" fontId="2" fillId="0" borderId="0" xfId="2" applyFont="1" applyFill="1">
      <alignment vertical="top"/>
    </xf>
    <xf numFmtId="0" fontId="2" fillId="0" borderId="0" xfId="2" applyFont="1" applyFill="1" applyAlignment="1" applyProtection="1"/>
    <xf numFmtId="3" fontId="2" fillId="0" borderId="0" xfId="1" applyNumberFormat="1" applyFont="1" applyProtection="1">
      <alignment vertical="top"/>
    </xf>
    <xf numFmtId="0" fontId="11" fillId="8" borderId="0" xfId="0" applyFont="1" applyFill="1">
      <alignment vertical="top"/>
    </xf>
    <xf numFmtId="0" fontId="11" fillId="8" borderId="0" xfId="0" applyFont="1" applyFill="1" applyAlignment="1">
      <alignment horizontal="center" vertical="top"/>
    </xf>
    <xf numFmtId="4" fontId="11" fillId="8" borderId="0" xfId="0" applyNumberFormat="1" applyFont="1" applyFill="1" applyAlignment="1">
      <alignment horizontal="center" vertical="top"/>
    </xf>
    <xf numFmtId="165" fontId="11" fillId="8" borderId="0" xfId="0" applyNumberFormat="1" applyFont="1" applyFill="1" applyAlignment="1">
      <alignment horizontal="center" vertical="top"/>
    </xf>
    <xf numFmtId="164" fontId="2" fillId="0" borderId="0" xfId="0" applyNumberFormat="1" applyFont="1" applyFill="1">
      <alignment vertical="top"/>
    </xf>
    <xf numFmtId="3" fontId="2" fillId="0" borderId="0" xfId="0" quotePrefix="1" applyNumberFormat="1" applyFont="1" applyFill="1" applyAlignment="1">
      <alignment horizontal="right" vertical="top"/>
    </xf>
    <xf numFmtId="4" fontId="1" fillId="0" borderId="0" xfId="1" applyNumberFormat="1">
      <alignment vertical="top"/>
    </xf>
    <xf numFmtId="0" fontId="1" fillId="10" borderId="0" xfId="1" applyFill="1">
      <alignment vertical="top"/>
    </xf>
    <xf numFmtId="3" fontId="2" fillId="10" borderId="0" xfId="0" applyNumberFormat="1" applyFont="1" applyFill="1" applyAlignment="1">
      <alignment horizontal="right" vertical="top"/>
    </xf>
    <xf numFmtId="3" fontId="5" fillId="10" borderId="0" xfId="0" applyNumberFormat="1" applyFont="1" applyFill="1" applyAlignment="1">
      <alignment horizontal="right" vertical="top"/>
    </xf>
    <xf numFmtId="3" fontId="2" fillId="10" borderId="0" xfId="0" applyNumberFormat="1" applyFont="1" applyFill="1" applyAlignment="1">
      <alignment horizontal="left" vertical="top"/>
    </xf>
    <xf numFmtId="3" fontId="5" fillId="10" borderId="0" xfId="0" applyNumberFormat="1" applyFont="1" applyFill="1" applyAlignment="1">
      <alignment horizontal="center" vertical="top"/>
    </xf>
    <xf numFmtId="3" fontId="1" fillId="10" borderId="0" xfId="1" applyNumberFormat="1" applyFill="1">
      <alignment vertical="top"/>
    </xf>
    <xf numFmtId="164" fontId="5" fillId="10" borderId="0" xfId="0" applyNumberFormat="1" applyFont="1" applyFill="1">
      <alignment vertical="top"/>
    </xf>
    <xf numFmtId="3" fontId="0" fillId="0" borderId="0" xfId="0" applyNumberFormat="1" applyAlignment="1">
      <alignment vertical="top"/>
    </xf>
    <xf numFmtId="3" fontId="0" fillId="0" borderId="0" xfId="0" applyNumberFormat="1" applyAlignment="1">
      <alignment horizontal="center" vertical="top" wrapText="1"/>
    </xf>
    <xf numFmtId="3" fontId="0" fillId="0" borderId="0" xfId="0" applyNumberFormat="1" applyAlignment="1">
      <alignment horizontal="center" vertical="top"/>
    </xf>
    <xf numFmtId="4" fontId="0" fillId="0" borderId="0" xfId="0" applyNumberFormat="1" applyAlignment="1">
      <alignment horizontal="center" vertical="top"/>
    </xf>
    <xf numFmtId="9" fontId="5" fillId="10" borderId="0" xfId="0" applyNumberFormat="1" applyFont="1" applyFill="1" applyAlignment="1">
      <alignment horizontal="right" vertical="top"/>
    </xf>
    <xf numFmtId="3" fontId="0" fillId="10" borderId="0" xfId="0" applyNumberFormat="1" applyFill="1" applyAlignment="1">
      <alignment vertical="top"/>
    </xf>
    <xf numFmtId="3" fontId="0" fillId="10" borderId="0" xfId="0" applyNumberFormat="1" applyFill="1" applyAlignment="1">
      <alignment horizontal="right" vertical="top"/>
    </xf>
    <xf numFmtId="3" fontId="0" fillId="10" borderId="0" xfId="0" applyNumberFormat="1" applyFill="1" applyAlignment="1">
      <alignment horizontal="center" vertical="top"/>
    </xf>
    <xf numFmtId="4" fontId="0" fillId="10" borderId="0" xfId="0" applyNumberFormat="1" applyFill="1" applyAlignment="1">
      <alignment horizontal="center" vertical="top"/>
    </xf>
    <xf numFmtId="167" fontId="0" fillId="10" borderId="0" xfId="0" applyNumberFormat="1" applyFill="1" applyAlignment="1">
      <alignment vertical="top"/>
    </xf>
    <xf numFmtId="3" fontId="0" fillId="9" borderId="0" xfId="0" applyNumberFormat="1" applyFill="1" applyAlignment="1">
      <alignment vertical="top"/>
    </xf>
    <xf numFmtId="3" fontId="0" fillId="9" borderId="0" xfId="0" applyNumberFormat="1" applyFill="1" applyAlignment="1">
      <alignment horizontal="right" vertical="top"/>
    </xf>
    <xf numFmtId="167" fontId="0" fillId="9" borderId="0" xfId="0" applyNumberFormat="1" applyFill="1" applyAlignment="1">
      <alignment vertical="top"/>
    </xf>
    <xf numFmtId="3" fontId="2" fillId="0" borderId="0" xfId="0" applyNumberFormat="1" applyFont="1" applyFill="1" applyAlignment="1">
      <alignment horizontal="center" vertical="top"/>
    </xf>
    <xf numFmtId="0" fontId="1" fillId="0" borderId="0" xfId="1" applyAlignment="1">
      <alignment vertical="top" wrapText="1"/>
    </xf>
    <xf numFmtId="3" fontId="2" fillId="0" borderId="0" xfId="0" applyNumberFormat="1" applyFont="1" applyFill="1" applyAlignment="1">
      <alignment horizontal="right" vertical="top" wrapText="1"/>
    </xf>
    <xf numFmtId="3" fontId="2" fillId="0" borderId="0" xfId="0" applyNumberFormat="1" applyFont="1" applyFill="1" applyAlignment="1">
      <alignment horizontal="center" vertical="top" wrapText="1"/>
    </xf>
    <xf numFmtId="0" fontId="0" fillId="0" borderId="0" xfId="1" applyFont="1" applyAlignment="1">
      <alignment horizontal="center" vertical="top" wrapText="1"/>
    </xf>
    <xf numFmtId="3" fontId="1" fillId="0" borderId="0" xfId="1" applyNumberFormat="1" applyAlignment="1">
      <alignment vertical="top" wrapText="1"/>
    </xf>
    <xf numFmtId="0" fontId="0" fillId="0" borderId="0" xfId="1" applyFont="1" applyAlignment="1">
      <alignment vertical="top" wrapText="1"/>
    </xf>
    <xf numFmtId="167" fontId="5" fillId="0" borderId="0" xfId="0" applyNumberFormat="1" applyFont="1" applyFill="1" applyAlignment="1">
      <alignment horizontal="center" vertical="top"/>
    </xf>
    <xf numFmtId="9" fontId="2" fillId="0" borderId="0" xfId="0" applyNumberFormat="1" applyFont="1" applyFill="1" applyAlignment="1">
      <alignment horizontal="center" vertical="top"/>
    </xf>
    <xf numFmtId="0" fontId="0" fillId="0" borderId="0" xfId="0" applyAlignment="1">
      <alignment horizontal="right" vertical="top"/>
    </xf>
    <xf numFmtId="3" fontId="5" fillId="0" borderId="0" xfId="0" applyNumberFormat="1" applyFont="1" applyFill="1" applyAlignment="1">
      <alignment horizontal="left" vertical="top"/>
    </xf>
    <xf numFmtId="3" fontId="0" fillId="11" borderId="0" xfId="0" applyNumberFormat="1" applyFill="1" applyAlignment="1">
      <alignment vertical="top"/>
    </xf>
    <xf numFmtId="3" fontId="0" fillId="11" borderId="0" xfId="0" applyNumberFormat="1" applyFill="1" applyAlignment="1">
      <alignment horizontal="right" vertical="top"/>
    </xf>
    <xf numFmtId="167" fontId="0" fillId="11" borderId="0" xfId="0" applyNumberFormat="1" applyFill="1" applyAlignment="1">
      <alignment vertical="top"/>
    </xf>
    <xf numFmtId="4" fontId="0" fillId="11" borderId="0" xfId="0" applyNumberFormat="1" applyFill="1" applyAlignment="1">
      <alignment vertical="top"/>
    </xf>
    <xf numFmtId="3" fontId="0" fillId="0" borderId="0" xfId="0" applyNumberFormat="1">
      <alignment vertical="top"/>
    </xf>
    <xf numFmtId="167" fontId="0" fillId="0" borderId="0" xfId="0" applyNumberFormat="1">
      <alignment vertical="top"/>
    </xf>
    <xf numFmtId="3" fontId="0" fillId="0" borderId="0" xfId="0" applyNumberFormat="1" applyAlignment="1">
      <alignment horizontal="right" vertical="top"/>
    </xf>
    <xf numFmtId="3" fontId="0" fillId="0" borderId="0" xfId="0" applyNumberFormat="1" applyAlignment="1">
      <alignment horizontal="left" vertical="top"/>
    </xf>
    <xf numFmtId="167" fontId="0" fillId="0" borderId="0" xfId="0" applyNumberFormat="1" applyAlignment="1">
      <alignment horizontal="right" vertical="top"/>
    </xf>
    <xf numFmtId="168" fontId="0" fillId="0" borderId="0" xfId="0" applyNumberFormat="1">
      <alignment vertical="top"/>
    </xf>
    <xf numFmtId="1" fontId="0" fillId="0" borderId="0" xfId="0" applyNumberFormat="1">
      <alignment vertical="top"/>
    </xf>
    <xf numFmtId="2" fontId="0" fillId="0" borderId="0" xfId="0" applyNumberFormat="1">
      <alignment vertical="top"/>
    </xf>
    <xf numFmtId="0" fontId="0" fillId="0" borderId="0" xfId="1" applyFont="1">
      <alignment vertical="top"/>
    </xf>
    <xf numFmtId="9" fontId="0" fillId="0" borderId="0" xfId="0" applyNumberFormat="1" applyAlignment="1">
      <alignment horizontal="right" vertical="top"/>
    </xf>
    <xf numFmtId="167" fontId="0" fillId="0" borderId="0" xfId="0" applyNumberFormat="1" applyAlignment="1">
      <alignment horizontal="center" vertical="top"/>
    </xf>
    <xf numFmtId="165" fontId="0" fillId="0" borderId="0" xfId="0" applyNumberFormat="1" applyAlignment="1">
      <alignment horizontal="right" vertical="top"/>
    </xf>
    <xf numFmtId="167" fontId="0" fillId="0" borderId="0" xfId="0" applyNumberFormat="1" applyAlignment="1">
      <alignment horizontal="left" vertical="top"/>
    </xf>
    <xf numFmtId="167" fontId="0" fillId="0" borderId="0" xfId="0" applyNumberFormat="1" applyAlignment="1">
      <alignment vertical="top" wrapText="1"/>
    </xf>
    <xf numFmtId="167" fontId="0" fillId="0" borderId="0" xfId="0" applyNumberFormat="1" applyAlignment="1">
      <alignment horizontal="center" vertical="top" wrapText="1"/>
    </xf>
    <xf numFmtId="0" fontId="0" fillId="0" borderId="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0" xfId="0" applyAlignment="1">
      <alignment vertical="center"/>
    </xf>
    <xf numFmtId="0" fontId="0" fillId="10" borderId="35" xfId="0" applyFont="1" applyFill="1" applyBorder="1" applyAlignment="1">
      <alignment vertical="center"/>
    </xf>
    <xf numFmtId="0" fontId="0" fillId="0" borderId="0" xfId="0" quotePrefix="1" applyAlignment="1">
      <alignment vertical="center"/>
    </xf>
    <xf numFmtId="0" fontId="0" fillId="0" borderId="0" xfId="0" applyAlignment="1">
      <alignment horizontal="right" vertical="center"/>
    </xf>
    <xf numFmtId="0" fontId="0" fillId="0" borderId="4" xfId="0" applyBorder="1" applyAlignment="1">
      <alignment vertical="center"/>
    </xf>
    <xf numFmtId="0" fontId="0" fillId="0" borderId="5" xfId="0" applyBorder="1" applyAlignment="1">
      <alignment vertical="center"/>
    </xf>
    <xf numFmtId="0" fontId="0" fillId="0" borderId="0" xfId="0" applyBorder="1" applyAlignment="1">
      <alignment vertical="center" wrapText="1"/>
    </xf>
    <xf numFmtId="0" fontId="0" fillId="0" borderId="43" xfId="0" applyBorder="1" applyAlignment="1">
      <alignment vertical="center" wrapText="1"/>
    </xf>
    <xf numFmtId="0" fontId="0" fillId="0" borderId="0" xfId="0" applyAlignment="1">
      <alignment horizontal="left" vertical="center"/>
    </xf>
    <xf numFmtId="3" fontId="2" fillId="0" borderId="0" xfId="0" applyNumberFormat="1" applyFont="1" applyFill="1" applyAlignment="1">
      <alignment horizontal="left" vertical="top" indent="1"/>
    </xf>
    <xf numFmtId="0" fontId="0" fillId="0" borderId="5" xfId="0" applyBorder="1" applyAlignment="1">
      <alignment vertical="center" wrapText="1"/>
    </xf>
    <xf numFmtId="9" fontId="0" fillId="0" borderId="0" xfId="0" applyNumberFormat="1">
      <alignment vertical="top"/>
    </xf>
    <xf numFmtId="12" fontId="0" fillId="0" borderId="0" xfId="0" applyNumberFormat="1">
      <alignment vertical="top"/>
    </xf>
    <xf numFmtId="3" fontId="0" fillId="0" borderId="0" xfId="0" quotePrefix="1" applyNumberFormat="1" applyAlignment="1">
      <alignment horizontal="right" vertical="top"/>
    </xf>
    <xf numFmtId="3" fontId="0" fillId="0" borderId="0" xfId="1" applyNumberFormat="1" applyFont="1">
      <alignment vertical="top"/>
    </xf>
    <xf numFmtId="3" fontId="2" fillId="12" borderId="0" xfId="0" applyNumberFormat="1" applyFont="1" applyFill="1" applyAlignment="1">
      <alignment horizontal="left" vertical="top"/>
    </xf>
    <xf numFmtId="3" fontId="2" fillId="6" borderId="0" xfId="0" applyNumberFormat="1" applyFont="1" applyFill="1" applyAlignment="1">
      <alignment horizontal="left" vertical="top"/>
    </xf>
    <xf numFmtId="3" fontId="0" fillId="0" borderId="0" xfId="1" applyNumberFormat="1" applyFont="1" applyAlignment="1">
      <alignment horizontal="right" vertical="top"/>
    </xf>
    <xf numFmtId="0" fontId="1" fillId="0" borderId="0" xfId="1" applyFill="1" applyAlignment="1">
      <alignment horizontal="center" vertical="top"/>
    </xf>
    <xf numFmtId="0" fontId="1" fillId="0" borderId="0" xfId="1" applyAlignment="1">
      <alignment horizontal="center" vertical="top"/>
    </xf>
    <xf numFmtId="3" fontId="1" fillId="0" borderId="0" xfId="1" applyNumberFormat="1" applyAlignment="1">
      <alignment horizontal="center" vertical="top"/>
    </xf>
    <xf numFmtId="3" fontId="1" fillId="10" borderId="0" xfId="1" applyNumberFormat="1" applyFill="1" applyAlignment="1">
      <alignment horizontal="center" vertical="top"/>
    </xf>
    <xf numFmtId="9" fontId="1" fillId="0" borderId="0" xfId="1" applyNumberFormat="1">
      <alignment vertical="top"/>
    </xf>
    <xf numFmtId="0" fontId="0" fillId="0" borderId="48" xfId="1" applyFont="1" applyBorder="1" applyAlignment="1">
      <alignment horizontal="center" vertical="top" wrapText="1"/>
    </xf>
    <xf numFmtId="0" fontId="0" fillId="0" borderId="49" xfId="1" applyFont="1" applyBorder="1" applyAlignment="1">
      <alignment horizontal="center" vertical="top" wrapText="1"/>
    </xf>
    <xf numFmtId="3" fontId="2" fillId="0" borderId="49" xfId="0" applyNumberFormat="1" applyFont="1" applyFill="1" applyBorder="1" applyAlignment="1">
      <alignment horizontal="center" vertical="top" wrapText="1"/>
    </xf>
    <xf numFmtId="3" fontId="2" fillId="0" borderId="50" xfId="0" applyNumberFormat="1" applyFont="1" applyFill="1" applyBorder="1" applyAlignment="1">
      <alignment horizontal="center" vertical="top" wrapText="1"/>
    </xf>
    <xf numFmtId="3" fontId="5" fillId="13" borderId="48" xfId="0" applyNumberFormat="1" applyFont="1" applyFill="1" applyBorder="1" applyAlignment="1">
      <alignment horizontal="center" vertical="top"/>
    </xf>
    <xf numFmtId="3" fontId="2" fillId="13" borderId="49" xfId="0" applyNumberFormat="1" applyFont="1" applyFill="1" applyBorder="1" applyAlignment="1">
      <alignment horizontal="center" vertical="top"/>
    </xf>
    <xf numFmtId="3" fontId="2" fillId="13" borderId="49" xfId="0" applyNumberFormat="1" applyFont="1" applyFill="1" applyBorder="1" applyAlignment="1">
      <alignment horizontal="left" vertical="top"/>
    </xf>
    <xf numFmtId="3" fontId="2" fillId="13" borderId="49" xfId="0" applyNumberFormat="1" applyFont="1" applyFill="1" applyBorder="1" applyAlignment="1">
      <alignment horizontal="right" vertical="top"/>
    </xf>
    <xf numFmtId="3" fontId="2" fillId="13" borderId="50" xfId="0" applyNumberFormat="1" applyFont="1" applyFill="1" applyBorder="1" applyAlignment="1">
      <alignment horizontal="center" vertical="top"/>
    </xf>
    <xf numFmtId="3" fontId="5" fillId="12" borderId="48" xfId="0" applyNumberFormat="1" applyFont="1" applyFill="1" applyBorder="1" applyAlignment="1">
      <alignment horizontal="center" vertical="top"/>
    </xf>
    <xf numFmtId="3" fontId="2" fillId="12" borderId="49" xfId="0" applyNumberFormat="1" applyFont="1" applyFill="1" applyBorder="1" applyAlignment="1">
      <alignment horizontal="center" vertical="top"/>
    </xf>
    <xf numFmtId="167" fontId="2" fillId="12" borderId="50" xfId="0" applyNumberFormat="1" applyFont="1" applyFill="1" applyBorder="1" applyAlignment="1">
      <alignment horizontal="center" vertical="top"/>
    </xf>
    <xf numFmtId="3" fontId="5" fillId="6" borderId="48" xfId="0" applyNumberFormat="1" applyFont="1" applyFill="1" applyBorder="1" applyAlignment="1">
      <alignment horizontal="center" vertical="top"/>
    </xf>
    <xf numFmtId="3" fontId="2" fillId="6" borderId="49" xfId="0" applyNumberFormat="1" applyFont="1" applyFill="1" applyBorder="1" applyAlignment="1">
      <alignment horizontal="center" vertical="top"/>
    </xf>
    <xf numFmtId="167" fontId="2" fillId="6" borderId="50" xfId="0" applyNumberFormat="1" applyFont="1" applyFill="1" applyBorder="1" applyAlignment="1">
      <alignment horizontal="center" vertical="top"/>
    </xf>
    <xf numFmtId="3" fontId="5" fillId="13" borderId="49" xfId="0" applyNumberFormat="1" applyFont="1" applyFill="1" applyBorder="1" applyAlignment="1">
      <alignment horizontal="center" vertical="top"/>
    </xf>
    <xf numFmtId="3" fontId="5" fillId="13" borderId="50" xfId="0" applyNumberFormat="1" applyFont="1" applyFill="1" applyBorder="1" applyAlignment="1">
      <alignment horizontal="center" vertical="top"/>
    </xf>
    <xf numFmtId="3" fontId="5" fillId="10" borderId="48" xfId="0" applyNumberFormat="1" applyFont="1" applyFill="1" applyBorder="1" applyAlignment="1">
      <alignment horizontal="center" vertical="top"/>
    </xf>
    <xf numFmtId="3" fontId="2" fillId="10" borderId="49" xfId="0" applyNumberFormat="1" applyFont="1" applyFill="1" applyBorder="1" applyAlignment="1">
      <alignment horizontal="center" vertical="top"/>
    </xf>
    <xf numFmtId="3" fontId="2" fillId="10" borderId="50" xfId="0" applyNumberFormat="1" applyFont="1" applyFill="1" applyBorder="1" applyAlignment="1">
      <alignment horizontal="center" vertical="top"/>
    </xf>
    <xf numFmtId="0" fontId="0" fillId="0" borderId="0" xfId="1" applyFont="1" applyAlignment="1">
      <alignment horizontal="right" vertical="top"/>
    </xf>
    <xf numFmtId="3" fontId="2" fillId="12" borderId="50" xfId="0" applyNumberFormat="1" applyFont="1" applyFill="1" applyBorder="1" applyAlignment="1">
      <alignment horizontal="center" vertical="top"/>
    </xf>
    <xf numFmtId="3" fontId="2" fillId="6" borderId="50" xfId="0" applyNumberFormat="1" applyFont="1" applyFill="1" applyBorder="1" applyAlignment="1">
      <alignment horizontal="center" vertical="top"/>
    </xf>
    <xf numFmtId="0" fontId="6" fillId="5" borderId="0" xfId="1" applyFont="1" applyFill="1">
      <alignment vertical="top"/>
    </xf>
    <xf numFmtId="0" fontId="1" fillId="0" borderId="0" xfId="1" applyFill="1">
      <alignment vertical="top"/>
    </xf>
    <xf numFmtId="166" fontId="1" fillId="0" borderId="0" xfId="2" applyNumberFormat="1" applyAlignment="1">
      <alignment horizontal="left" vertical="top"/>
    </xf>
    <xf numFmtId="0" fontId="2" fillId="0" borderId="0" xfId="2" applyFont="1" applyFill="1" applyAlignment="1">
      <alignment horizontal="left" vertical="top"/>
    </xf>
    <xf numFmtId="0" fontId="2" fillId="4" borderId="0" xfId="2" applyFont="1" applyFill="1" applyAlignment="1">
      <alignment horizontal="left" vertical="top"/>
    </xf>
    <xf numFmtId="0" fontId="2" fillId="7" borderId="0" xfId="2" applyFont="1" applyFill="1" applyAlignment="1">
      <alignment horizontal="left" vertical="top"/>
    </xf>
    <xf numFmtId="3" fontId="0" fillId="0" borderId="0" xfId="0" applyNumberFormat="1" applyAlignment="1">
      <alignment vertical="top"/>
    </xf>
    <xf numFmtId="3" fontId="0" fillId="0" borderId="0" xfId="0" applyNumberFormat="1" applyAlignment="1">
      <alignment vertical="top" wrapText="1"/>
    </xf>
    <xf numFmtId="3" fontId="0" fillId="0" borderId="0" xfId="0" applyNumberFormat="1" applyAlignment="1">
      <alignment horizontal="center" vertical="top" wrapText="1"/>
    </xf>
    <xf numFmtId="0" fontId="0" fillId="0" borderId="14"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0" fillId="0" borderId="19" xfId="0" applyBorder="1" applyAlignment="1">
      <alignment horizontal="center" vertical="center" wrapText="1"/>
    </xf>
    <xf numFmtId="0" fontId="0" fillId="0" borderId="7" xfId="0" applyBorder="1" applyAlignment="1">
      <alignment horizontal="center" vertical="center" wrapText="1"/>
    </xf>
    <xf numFmtId="0" fontId="0" fillId="0" borderId="18" xfId="0" applyBorder="1" applyAlignment="1">
      <alignment horizontal="center" vertical="center"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0" fillId="0" borderId="17" xfId="0" applyBorder="1" applyAlignment="1">
      <alignment horizontal="center" vertical="center" wrapText="1"/>
    </xf>
    <xf numFmtId="0" fontId="0" fillId="0" borderId="1" xfId="0" applyBorder="1" applyAlignment="1">
      <alignment horizontal="center" vertical="center"/>
    </xf>
    <xf numFmtId="0" fontId="0" fillId="0" borderId="0" xfId="0" applyBorder="1" applyAlignment="1">
      <alignment horizontal="center" vertical="center"/>
    </xf>
    <xf numFmtId="0" fontId="0" fillId="0" borderId="4"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textRotation="90"/>
    </xf>
    <xf numFmtId="0" fontId="0" fillId="0" borderId="0" xfId="0" applyBorder="1" applyAlignment="1">
      <alignment horizontal="center" vertical="center" textRotation="90"/>
    </xf>
    <xf numFmtId="0" fontId="0" fillId="0" borderId="5" xfId="0" applyBorder="1" applyAlignment="1">
      <alignment horizontal="center" vertical="center" textRotation="90"/>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7" xfId="0"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0" fillId="0" borderId="17" xfId="0" applyBorder="1" applyAlignment="1">
      <alignment horizontal="center" vertical="center"/>
    </xf>
    <xf numFmtId="0" fontId="0" fillId="0" borderId="22"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23" xfId="0" applyBorder="1" applyAlignment="1">
      <alignment horizontal="center" vertical="center" wrapText="1"/>
    </xf>
    <xf numFmtId="0" fontId="0" fillId="0" borderId="3" xfId="0" applyBorder="1" applyAlignment="1">
      <alignment horizontal="center" vertical="center"/>
    </xf>
    <xf numFmtId="0" fontId="0" fillId="0" borderId="30" xfId="0" applyBorder="1" applyAlignment="1">
      <alignment horizontal="center" vertical="center"/>
    </xf>
    <xf numFmtId="0" fontId="0" fillId="0" borderId="8" xfId="0" applyBorder="1" applyAlignment="1">
      <alignment horizontal="center" vertical="center" wrapText="1"/>
    </xf>
    <xf numFmtId="0" fontId="0" fillId="0" borderId="10"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13" xfId="0"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0" fillId="0" borderId="31"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0" xfId="0" applyBorder="1" applyAlignment="1">
      <alignment horizontal="center" vertical="center" wrapText="1"/>
    </xf>
    <xf numFmtId="0" fontId="0" fillId="0" borderId="3" xfId="0"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14" xfId="0" applyBorder="1" applyAlignment="1">
      <alignment horizontal="center" vertical="center"/>
    </xf>
    <xf numFmtId="0" fontId="0" fillId="0" borderId="47" xfId="0" applyBorder="1" applyAlignment="1">
      <alignment horizontal="center" vertical="center"/>
    </xf>
    <xf numFmtId="0" fontId="0" fillId="0" borderId="46" xfId="0" applyBorder="1" applyAlignment="1">
      <alignment horizontal="center" vertical="center"/>
    </xf>
    <xf numFmtId="167" fontId="0" fillId="0" borderId="0" xfId="0" applyNumberFormat="1" applyAlignment="1">
      <alignment horizontal="center" vertical="top" wrapText="1"/>
    </xf>
  </cellXfs>
  <cellStyles count="4">
    <cellStyle name="Hyperlink" xfId="3" builtinId="8"/>
    <cellStyle name="Normal" xfId="0" builtinId="0"/>
    <cellStyle name="Normal 2" xfId="2" xr:uid="{00000000-0005-0000-0000-000002000000}"/>
    <cellStyle name="Normal_Blank Engineering Calculation1" xfId="1" xr:uid="{00000000-0005-0000-0000-00000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5C852B"/>
      <rgbColor rgb="0099CCFF"/>
      <rgbColor rgb="00FEBB36"/>
      <rgbColor rgb="00CC99FF"/>
      <rgbColor rgb="009A3E00"/>
      <rgbColor rgb="003366FF"/>
      <rgbColor rgb="0033CCCC"/>
      <rgbColor rgb="0099CC00"/>
      <rgbColor rgb="00FFCC00"/>
      <rgbColor rgb="00FF9900"/>
      <rgbColor rgb="00FF6600"/>
      <rgbColor rgb="00CC9900"/>
      <rgbColor rgb="00999999"/>
      <rgbColor rgb="00003366"/>
      <rgbColor rgb="00339966"/>
      <rgbColor rgb="00003300"/>
      <rgbColor rgb="00333300"/>
      <rgbColor rgb="00993300"/>
      <rgbColor rgb="00993366"/>
      <rgbColor rgb="00000099"/>
      <rgbColor rgb="00333333"/>
    </indexedColors>
    <mruColors>
      <color rgb="FF66FF66"/>
      <color rgb="FFFF00FF"/>
      <color rgb="FFFF6600"/>
      <color rgb="FFFFCC99"/>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hartsheet" Target="chart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hartsheet" Target="chartsheets/sheet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scatterChart>
        <c:scatterStyle val="smoothMarker"/>
        <c:varyColors val="0"/>
        <c:ser>
          <c:idx val="0"/>
          <c:order val="0"/>
          <c:tx>
            <c:strRef>
              <c:f>'Design Data'!$G$142</c:f>
              <c:strCache>
                <c:ptCount val="1"/>
                <c:pt idx="0">
                  <c:v>Perimeter flow</c:v>
                </c:pt>
              </c:strCache>
            </c:strRef>
          </c:tx>
          <c:spPr>
            <a:ln w="19050" cap="rnd">
              <a:solidFill>
                <a:schemeClr val="accent1"/>
              </a:solidFill>
              <a:round/>
            </a:ln>
            <a:effectLst/>
          </c:spPr>
          <c:marker>
            <c:symbol val="circle"/>
            <c:size val="9"/>
            <c:spPr>
              <a:solidFill>
                <a:schemeClr val="accent1"/>
              </a:solidFill>
              <a:ln w="9525">
                <a:solidFill>
                  <a:schemeClr val="accent1"/>
                </a:solidFill>
              </a:ln>
              <a:effectLst/>
            </c:spPr>
          </c:marker>
          <c:xVal>
            <c:numRef>
              <c:f>'Design Data'!$F$143:$F$147</c:f>
              <c:numCache>
                <c:formatCode>#,##0</c:formatCode>
                <c:ptCount val="5"/>
                <c:pt idx="0">
                  <c:v>1</c:v>
                </c:pt>
                <c:pt idx="1">
                  <c:v>2</c:v>
                </c:pt>
                <c:pt idx="2">
                  <c:v>3</c:v>
                </c:pt>
                <c:pt idx="3">
                  <c:v>4</c:v>
                </c:pt>
                <c:pt idx="4">
                  <c:v>5</c:v>
                </c:pt>
              </c:numCache>
            </c:numRef>
          </c:xVal>
          <c:yVal>
            <c:numRef>
              <c:f>'Design Data'!$G$143:$G$147</c:f>
              <c:numCache>
                <c:formatCode>#,##0</c:formatCode>
                <c:ptCount val="5"/>
                <c:pt idx="0">
                  <c:v>6292.6657883179623</c:v>
                </c:pt>
                <c:pt idx="1">
                  <c:v>9129.1348265261313</c:v>
                </c:pt>
                <c:pt idx="2">
                  <c:v>10831.016249451031</c:v>
                </c:pt>
                <c:pt idx="3">
                  <c:v>11852.14510320597</c:v>
                </c:pt>
                <c:pt idx="4">
                  <c:v>12464.822415458935</c:v>
                </c:pt>
              </c:numCache>
            </c:numRef>
          </c:yVal>
          <c:smooth val="1"/>
          <c:extLst>
            <c:ext xmlns:c16="http://schemas.microsoft.com/office/drawing/2014/chart" uri="{C3380CC4-5D6E-409C-BE32-E72D297353CC}">
              <c16:uniqueId val="{00000000-CCC2-4B95-804A-66914BB54A50}"/>
            </c:ext>
          </c:extLst>
        </c:ser>
        <c:ser>
          <c:idx val="2"/>
          <c:order val="2"/>
          <c:tx>
            <c:strRef>
              <c:f>'Design Data'!$I$142</c:f>
              <c:strCache>
                <c:ptCount val="1"/>
                <c:pt idx="0">
                  <c:v>Total Flow</c:v>
                </c:pt>
              </c:strCache>
            </c:strRef>
          </c:tx>
          <c:spPr>
            <a:ln w="19050" cap="rnd">
              <a:solidFill>
                <a:schemeClr val="accent3"/>
              </a:solidFill>
              <a:round/>
            </a:ln>
            <a:effectLst/>
          </c:spPr>
          <c:marker>
            <c:symbol val="circle"/>
            <c:size val="9"/>
            <c:spPr>
              <a:solidFill>
                <a:schemeClr val="accent3"/>
              </a:solidFill>
              <a:ln w="9525">
                <a:solidFill>
                  <a:schemeClr val="accent3"/>
                </a:solidFill>
              </a:ln>
              <a:effectLst/>
            </c:spPr>
          </c:marker>
          <c:xVal>
            <c:numRef>
              <c:f>'Design Data'!$F$143:$F$147</c:f>
              <c:numCache>
                <c:formatCode>#,##0</c:formatCode>
                <c:ptCount val="5"/>
                <c:pt idx="0">
                  <c:v>1</c:v>
                </c:pt>
                <c:pt idx="1">
                  <c:v>2</c:v>
                </c:pt>
                <c:pt idx="2">
                  <c:v>3</c:v>
                </c:pt>
                <c:pt idx="3">
                  <c:v>4</c:v>
                </c:pt>
                <c:pt idx="4">
                  <c:v>5</c:v>
                </c:pt>
              </c:numCache>
            </c:numRef>
          </c:xVal>
          <c:yVal>
            <c:numRef>
              <c:f>'Design Data'!$I$143:$I$147</c:f>
              <c:numCache>
                <c:formatCode>#,##0</c:formatCode>
                <c:ptCount val="5"/>
                <c:pt idx="0">
                  <c:v>10487.776313863271</c:v>
                </c:pt>
                <c:pt idx="1">
                  <c:v>15215.224710876886</c:v>
                </c:pt>
                <c:pt idx="2">
                  <c:v>18051.693749085054</c:v>
                </c:pt>
                <c:pt idx="3">
                  <c:v>19753.575172009954</c:v>
                </c:pt>
                <c:pt idx="4">
                  <c:v>20774.704025764891</c:v>
                </c:pt>
              </c:numCache>
            </c:numRef>
          </c:yVal>
          <c:smooth val="1"/>
          <c:extLst>
            <c:ext xmlns:c16="http://schemas.microsoft.com/office/drawing/2014/chart" uri="{C3380CC4-5D6E-409C-BE32-E72D297353CC}">
              <c16:uniqueId val="{00000001-CCC2-4B95-804A-66914BB54A50}"/>
            </c:ext>
          </c:extLst>
        </c:ser>
        <c:dLbls>
          <c:showLegendKey val="0"/>
          <c:showVal val="0"/>
          <c:showCatName val="0"/>
          <c:showSerName val="0"/>
          <c:showPercent val="0"/>
          <c:showBubbleSize val="0"/>
        </c:dLbls>
        <c:axId val="501958512"/>
        <c:axId val="501955376"/>
      </c:scatterChart>
      <c:scatterChart>
        <c:scatterStyle val="smoothMarker"/>
        <c:varyColors val="0"/>
        <c:ser>
          <c:idx val="1"/>
          <c:order val="1"/>
          <c:tx>
            <c:strRef>
              <c:f>'Design Data'!$H$142</c:f>
              <c:strCache>
                <c:ptCount val="1"/>
                <c:pt idx="0">
                  <c:v>MOA Percent</c:v>
                </c:pt>
              </c:strCache>
            </c:strRef>
          </c:tx>
          <c:spPr>
            <a:ln w="19050" cap="rnd">
              <a:solidFill>
                <a:schemeClr val="accent4"/>
              </a:solidFill>
              <a:round/>
            </a:ln>
            <a:effectLst/>
          </c:spPr>
          <c:marker>
            <c:symbol val="circle"/>
            <c:size val="9"/>
            <c:spPr>
              <a:solidFill>
                <a:schemeClr val="accent4"/>
              </a:solidFill>
              <a:ln w="9525">
                <a:solidFill>
                  <a:schemeClr val="accent4"/>
                </a:solidFill>
              </a:ln>
              <a:effectLst/>
            </c:spPr>
          </c:marker>
          <c:xVal>
            <c:numRef>
              <c:f>'Design Data'!$F$143:$F$147</c:f>
              <c:numCache>
                <c:formatCode>#,##0</c:formatCode>
                <c:ptCount val="5"/>
                <c:pt idx="0">
                  <c:v>1</c:v>
                </c:pt>
                <c:pt idx="1">
                  <c:v>2</c:v>
                </c:pt>
                <c:pt idx="2">
                  <c:v>3</c:v>
                </c:pt>
                <c:pt idx="3">
                  <c:v>4</c:v>
                </c:pt>
                <c:pt idx="4">
                  <c:v>5</c:v>
                </c:pt>
              </c:numCache>
            </c:numRef>
          </c:xVal>
          <c:yVal>
            <c:numRef>
              <c:f>'Design Data'!$H$143:$H$147</c:f>
              <c:numCache>
                <c:formatCode>0%</c:formatCode>
                <c:ptCount val="5"/>
                <c:pt idx="0">
                  <c:v>0.24873677451774098</c:v>
                </c:pt>
                <c:pt idx="1">
                  <c:v>0.17145298224278202</c:v>
                </c:pt>
                <c:pt idx="2">
                  <c:v>0.14451251436204618</c:v>
                </c:pt>
                <c:pt idx="3">
                  <c:v>0.1320619497715195</c:v>
                </c:pt>
                <c:pt idx="4">
                  <c:v>0.12557077342418912</c:v>
                </c:pt>
              </c:numCache>
            </c:numRef>
          </c:yVal>
          <c:smooth val="1"/>
          <c:extLst>
            <c:ext xmlns:c16="http://schemas.microsoft.com/office/drawing/2014/chart" uri="{C3380CC4-5D6E-409C-BE32-E72D297353CC}">
              <c16:uniqueId val="{00000002-CCC2-4B95-804A-66914BB54A50}"/>
            </c:ext>
          </c:extLst>
        </c:ser>
        <c:dLbls>
          <c:showLegendKey val="0"/>
          <c:showVal val="0"/>
          <c:showCatName val="0"/>
          <c:showSerName val="0"/>
          <c:showPercent val="0"/>
          <c:showBubbleSize val="0"/>
        </c:dLbls>
        <c:axId val="501956552"/>
        <c:axId val="501956160"/>
      </c:scatterChart>
      <c:valAx>
        <c:axId val="5019585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501955376"/>
        <c:crosses val="autoZero"/>
        <c:crossBetween val="midCat"/>
      </c:valAx>
      <c:valAx>
        <c:axId val="501955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501958512"/>
        <c:crosses val="autoZero"/>
        <c:crossBetween val="midCat"/>
      </c:valAx>
      <c:valAx>
        <c:axId val="501956160"/>
        <c:scaling>
          <c:orientation val="minMax"/>
        </c:scaling>
        <c:delete val="0"/>
        <c:axPos val="r"/>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501956552"/>
        <c:crosses val="max"/>
        <c:crossBetween val="midCat"/>
      </c:valAx>
      <c:valAx>
        <c:axId val="501956552"/>
        <c:scaling>
          <c:orientation val="minMax"/>
        </c:scaling>
        <c:delete val="1"/>
        <c:axPos val="b"/>
        <c:numFmt formatCode="#,##0" sourceLinked="1"/>
        <c:majorTickMark val="out"/>
        <c:minorTickMark val="none"/>
        <c:tickLblPos val="nextTo"/>
        <c:crossAx val="5019561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Comic Sans MS" panose="030F0702030302020204" pitchFamily="66"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Comic Sans MS" panose="030F0702030302020204" pitchFamily="66" charset="0"/>
              <a:ea typeface="+mn-ea"/>
              <a:cs typeface="+mn-cs"/>
            </a:defRPr>
          </a:pPr>
          <a:endParaRPr lang="en-US"/>
        </a:p>
      </c:txPr>
    </c:title>
    <c:autoTitleDeleted val="0"/>
    <c:plotArea>
      <c:layout/>
      <c:scatterChart>
        <c:scatterStyle val="smoothMarker"/>
        <c:varyColors val="0"/>
        <c:ser>
          <c:idx val="0"/>
          <c:order val="0"/>
          <c:tx>
            <c:strRef>
              <c:f>'Typical Reheat Coil'!$K$67</c:f>
              <c:strCache>
                <c:ptCount val="1"/>
                <c:pt idx="0">
                  <c:v>LAT,°F at Maximum Flow</c:v>
                </c:pt>
              </c:strCache>
            </c:strRef>
          </c:tx>
          <c:spPr>
            <a:ln w="19050" cap="rnd">
              <a:solidFill>
                <a:schemeClr val="accent1"/>
              </a:solidFill>
              <a:round/>
            </a:ln>
            <a:effectLst/>
          </c:spPr>
          <c:marker>
            <c:symbol val="diamond"/>
            <c:size val="9"/>
            <c:spPr>
              <a:solidFill>
                <a:schemeClr val="accent1"/>
              </a:solidFill>
              <a:ln w="9525">
                <a:solidFill>
                  <a:schemeClr val="accent1"/>
                </a:solidFill>
              </a:ln>
              <a:effectLst/>
            </c:spPr>
          </c:marker>
          <c:xVal>
            <c:numRef>
              <c:f>'Typical Reheat Coil'!$J$68:$J$72</c:f>
              <c:numCache>
                <c:formatCode>#,##0</c:formatCode>
                <c:ptCount val="5"/>
                <c:pt idx="0">
                  <c:v>90</c:v>
                </c:pt>
                <c:pt idx="1">
                  <c:v>110</c:v>
                </c:pt>
                <c:pt idx="2">
                  <c:v>130</c:v>
                </c:pt>
                <c:pt idx="3">
                  <c:v>150</c:v>
                </c:pt>
                <c:pt idx="4">
                  <c:v>170</c:v>
                </c:pt>
              </c:numCache>
            </c:numRef>
          </c:xVal>
          <c:yVal>
            <c:numRef>
              <c:f>'Typical Reheat Coil'!$K$68:$K$72</c:f>
              <c:numCache>
                <c:formatCode>#,##0.0</c:formatCode>
                <c:ptCount val="5"/>
                <c:pt idx="0">
                  <c:v>62.1</c:v>
                </c:pt>
                <c:pt idx="1">
                  <c:v>67.2</c:v>
                </c:pt>
                <c:pt idx="2">
                  <c:v>72.400000000000006</c:v>
                </c:pt>
                <c:pt idx="3">
                  <c:v>77.5</c:v>
                </c:pt>
                <c:pt idx="4">
                  <c:v>82.7</c:v>
                </c:pt>
              </c:numCache>
            </c:numRef>
          </c:yVal>
          <c:smooth val="1"/>
          <c:extLst>
            <c:ext xmlns:c16="http://schemas.microsoft.com/office/drawing/2014/chart" uri="{C3380CC4-5D6E-409C-BE32-E72D297353CC}">
              <c16:uniqueId val="{00000000-B2DB-410D-ABFA-B9DADABC9DCE}"/>
            </c:ext>
          </c:extLst>
        </c:ser>
        <c:ser>
          <c:idx val="1"/>
          <c:order val="1"/>
          <c:tx>
            <c:strRef>
              <c:f>'Typical Reheat Coil'!$L$67</c:f>
              <c:strCache>
                <c:ptCount val="1"/>
                <c:pt idx="0">
                  <c:v>LAT,°F at Minimum Flow</c:v>
                </c:pt>
              </c:strCache>
            </c:strRef>
          </c:tx>
          <c:spPr>
            <a:ln w="19050" cap="rnd">
              <a:solidFill>
                <a:schemeClr val="accent4"/>
              </a:solidFill>
              <a:round/>
            </a:ln>
            <a:effectLst/>
          </c:spPr>
          <c:marker>
            <c:symbol val="circle"/>
            <c:size val="8"/>
            <c:spPr>
              <a:solidFill>
                <a:schemeClr val="accent4"/>
              </a:solidFill>
              <a:ln w="9525">
                <a:solidFill>
                  <a:schemeClr val="accent4"/>
                </a:solidFill>
              </a:ln>
              <a:effectLst/>
            </c:spPr>
          </c:marker>
          <c:xVal>
            <c:numRef>
              <c:f>'Typical Reheat Coil'!$J$68:$J$72</c:f>
              <c:numCache>
                <c:formatCode>#,##0</c:formatCode>
                <c:ptCount val="5"/>
                <c:pt idx="0">
                  <c:v>90</c:v>
                </c:pt>
                <c:pt idx="1">
                  <c:v>110</c:v>
                </c:pt>
                <c:pt idx="2">
                  <c:v>130</c:v>
                </c:pt>
                <c:pt idx="3">
                  <c:v>150</c:v>
                </c:pt>
                <c:pt idx="4">
                  <c:v>170</c:v>
                </c:pt>
              </c:numCache>
            </c:numRef>
          </c:xVal>
          <c:yVal>
            <c:numRef>
              <c:f>'Typical Reheat Coil'!$L$68:$L$72</c:f>
              <c:numCache>
                <c:formatCode>#,##0.0</c:formatCode>
                <c:ptCount val="5"/>
                <c:pt idx="0">
                  <c:v>65.400000000000006</c:v>
                </c:pt>
                <c:pt idx="1">
                  <c:v>72.3</c:v>
                </c:pt>
                <c:pt idx="2">
                  <c:v>79.2</c:v>
                </c:pt>
                <c:pt idx="3">
                  <c:v>86.1</c:v>
                </c:pt>
                <c:pt idx="4">
                  <c:v>93</c:v>
                </c:pt>
              </c:numCache>
            </c:numRef>
          </c:yVal>
          <c:smooth val="1"/>
          <c:extLst>
            <c:ext xmlns:c16="http://schemas.microsoft.com/office/drawing/2014/chart" uri="{C3380CC4-5D6E-409C-BE32-E72D297353CC}">
              <c16:uniqueId val="{00000001-B2DB-410D-ABFA-B9DADABC9DCE}"/>
            </c:ext>
          </c:extLst>
        </c:ser>
        <c:dLbls>
          <c:showLegendKey val="0"/>
          <c:showVal val="0"/>
          <c:showCatName val="0"/>
          <c:showSerName val="0"/>
          <c:showPercent val="0"/>
          <c:showBubbleSize val="0"/>
        </c:dLbls>
        <c:axId val="501971056"/>
        <c:axId val="501972232"/>
      </c:scatterChart>
      <c:valAx>
        <c:axId val="501971056"/>
        <c:scaling>
          <c:orientation val="minMax"/>
          <c:min val="8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501972232"/>
        <c:crosses val="autoZero"/>
        <c:crossBetween val="midCat"/>
        <c:majorUnit val="10"/>
        <c:minorUnit val="5"/>
      </c:valAx>
      <c:valAx>
        <c:axId val="501972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crossAx val="5019710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omic Sans MS" panose="030F0702030302020204" pitchFamily="66"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Comic Sans MS" panose="030F0702030302020204" pitchFamily="66"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bg1"/>
                </a:solidFill>
                <a:latin typeface="Arial" panose="020B0604020202020204" pitchFamily="34" charset="0"/>
                <a:ea typeface="+mn-ea"/>
                <a:cs typeface="Arial" panose="020B0604020202020204" pitchFamily="34" charset="0"/>
              </a:defRPr>
            </a:pPr>
            <a:r>
              <a:rPr lang="en-US" sz="1800">
                <a:latin typeface="Arial" panose="020B0604020202020204" pitchFamily="34" charset="0"/>
                <a:cs typeface="Arial" panose="020B0604020202020204" pitchFamily="34" charset="0"/>
              </a:rPr>
              <a:t>Heat</a:t>
            </a:r>
            <a:r>
              <a:rPr lang="en-US" sz="1800" baseline="0">
                <a:latin typeface="Arial" panose="020B0604020202020204" pitchFamily="34" charset="0"/>
                <a:cs typeface="Arial" panose="020B0604020202020204" pitchFamily="34" charset="0"/>
              </a:rPr>
              <a:t> Loss vs. Insulation Thickness</a:t>
            </a:r>
          </a:p>
          <a:p>
            <a:pPr>
              <a:defRPr sz="18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3 inch line, 75°F Ambient</a:t>
            </a:r>
            <a:r>
              <a:rPr lang="en-US" sz="1400" baseline="0">
                <a:latin typeface="Arial" panose="020B0604020202020204" pitchFamily="34" charset="0"/>
                <a:cs typeface="Arial" panose="020B0604020202020204" pitchFamily="34" charset="0"/>
              </a:rPr>
              <a:t> temperature</a:t>
            </a:r>
          </a:p>
          <a:p>
            <a:pPr>
              <a:defRPr sz="1800">
                <a:latin typeface="Arial" panose="020B0604020202020204" pitchFamily="34" charset="0"/>
                <a:cs typeface="Arial" panose="020B0604020202020204" pitchFamily="34" charset="0"/>
              </a:defRPr>
            </a:pPr>
            <a:r>
              <a:rPr lang="en-US" sz="1400" baseline="0">
                <a:latin typeface="Arial" panose="020B0604020202020204" pitchFamily="34" charset="0"/>
                <a:cs typeface="Arial" panose="020B0604020202020204" pitchFamily="34" charset="0"/>
              </a:rPr>
              <a:t>Calculated using 3E Plus</a:t>
            </a:r>
            <a:endParaRPr lang="en-US" sz="140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bg1"/>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smoothMarker"/>
        <c:varyColors val="0"/>
        <c:ser>
          <c:idx val="0"/>
          <c:order val="0"/>
          <c:tx>
            <c:strRef>
              <c:f>'Pipe Insulation Losses'!$B$4:$C$4</c:f>
              <c:strCache>
                <c:ptCount val="1"/>
                <c:pt idx="0">
                  <c:v>70°F Water</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Losses'!$C$6:$C$26</c:f>
              <c:numCache>
                <c:formatCode>#,##0.0</c:formatCode>
                <c:ptCount val="21"/>
                <c:pt idx="0">
                  <c:v>5.97</c:v>
                </c:pt>
                <c:pt idx="1">
                  <c:v>1.89</c:v>
                </c:pt>
                <c:pt idx="2">
                  <c:v>1.17</c:v>
                </c:pt>
                <c:pt idx="3">
                  <c:v>0.89</c:v>
                </c:pt>
                <c:pt idx="4">
                  <c:v>0.75</c:v>
                </c:pt>
                <c:pt idx="5">
                  <c:v>0.65</c:v>
                </c:pt>
                <c:pt idx="6">
                  <c:v>0.59</c:v>
                </c:pt>
                <c:pt idx="7">
                  <c:v>0.53</c:v>
                </c:pt>
                <c:pt idx="8">
                  <c:v>0.5</c:v>
                </c:pt>
                <c:pt idx="9">
                  <c:v>0.47</c:v>
                </c:pt>
                <c:pt idx="10">
                  <c:v>0.44</c:v>
                </c:pt>
                <c:pt idx="11">
                  <c:v>0.42</c:v>
                </c:pt>
                <c:pt idx="12">
                  <c:v>0.4</c:v>
                </c:pt>
                <c:pt idx="13">
                  <c:v>0.38</c:v>
                </c:pt>
                <c:pt idx="14">
                  <c:v>0.37</c:v>
                </c:pt>
                <c:pt idx="15">
                  <c:v>0.36</c:v>
                </c:pt>
                <c:pt idx="16">
                  <c:v>0.35</c:v>
                </c:pt>
                <c:pt idx="17">
                  <c:v>0.34</c:v>
                </c:pt>
                <c:pt idx="18">
                  <c:v>0.33</c:v>
                </c:pt>
                <c:pt idx="19">
                  <c:v>0.32</c:v>
                </c:pt>
                <c:pt idx="20">
                  <c:v>0.32</c:v>
                </c:pt>
              </c:numCache>
            </c:numRef>
          </c:yVal>
          <c:smooth val="1"/>
          <c:extLst>
            <c:ext xmlns:c16="http://schemas.microsoft.com/office/drawing/2014/chart" uri="{C3380CC4-5D6E-409C-BE32-E72D297353CC}">
              <c16:uniqueId val="{00000000-55D4-4BE6-ACCD-12C5CB712E1B}"/>
            </c:ext>
          </c:extLst>
        </c:ser>
        <c:ser>
          <c:idx val="1"/>
          <c:order val="1"/>
          <c:tx>
            <c:strRef>
              <c:f>'Pipe Insulation Losses'!$D$4:$E$4</c:f>
              <c:strCache>
                <c:ptCount val="1"/>
                <c:pt idx="0">
                  <c:v>90°F Water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Losses'!$E$6:$E$26</c:f>
              <c:numCache>
                <c:formatCode>#,##0.0</c:formatCode>
                <c:ptCount val="21"/>
                <c:pt idx="0">
                  <c:v>20.78</c:v>
                </c:pt>
                <c:pt idx="1">
                  <c:v>5.89</c:v>
                </c:pt>
                <c:pt idx="2">
                  <c:v>3.62</c:v>
                </c:pt>
                <c:pt idx="3">
                  <c:v>2.74</c:v>
                </c:pt>
                <c:pt idx="4">
                  <c:v>2.29</c:v>
                </c:pt>
                <c:pt idx="5">
                  <c:v>2</c:v>
                </c:pt>
                <c:pt idx="6">
                  <c:v>1.8</c:v>
                </c:pt>
                <c:pt idx="7">
                  <c:v>1.63</c:v>
                </c:pt>
                <c:pt idx="8">
                  <c:v>1.52</c:v>
                </c:pt>
                <c:pt idx="9">
                  <c:v>1.43</c:v>
                </c:pt>
                <c:pt idx="10">
                  <c:v>1.34</c:v>
                </c:pt>
                <c:pt idx="11">
                  <c:v>1.28</c:v>
                </c:pt>
                <c:pt idx="12">
                  <c:v>1.22</c:v>
                </c:pt>
                <c:pt idx="13">
                  <c:v>1.18</c:v>
                </c:pt>
                <c:pt idx="14">
                  <c:v>1.1399999999999999</c:v>
                </c:pt>
                <c:pt idx="15">
                  <c:v>1.1000000000000001</c:v>
                </c:pt>
                <c:pt idx="16">
                  <c:v>1.07</c:v>
                </c:pt>
                <c:pt idx="17">
                  <c:v>1.04</c:v>
                </c:pt>
                <c:pt idx="18">
                  <c:v>1.02</c:v>
                </c:pt>
                <c:pt idx="19">
                  <c:v>0.99</c:v>
                </c:pt>
                <c:pt idx="20">
                  <c:v>0.97</c:v>
                </c:pt>
              </c:numCache>
            </c:numRef>
          </c:yVal>
          <c:smooth val="1"/>
          <c:extLst>
            <c:ext xmlns:c16="http://schemas.microsoft.com/office/drawing/2014/chart" uri="{C3380CC4-5D6E-409C-BE32-E72D297353CC}">
              <c16:uniqueId val="{00000001-55D4-4BE6-ACCD-12C5CB712E1B}"/>
            </c:ext>
          </c:extLst>
        </c:ser>
        <c:ser>
          <c:idx val="2"/>
          <c:order val="2"/>
          <c:tx>
            <c:strRef>
              <c:f>'Pipe Insulation Losses'!$F$4:$G$4</c:f>
              <c:strCache>
                <c:ptCount val="1"/>
                <c:pt idx="0">
                  <c:v>110°F Water</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Losses'!$G$6:$G$26</c:f>
              <c:numCache>
                <c:formatCode>#,##0.0</c:formatCode>
                <c:ptCount val="21"/>
                <c:pt idx="0">
                  <c:v>55.34</c:v>
                </c:pt>
                <c:pt idx="1">
                  <c:v>14.28</c:v>
                </c:pt>
                <c:pt idx="2">
                  <c:v>8.69</c:v>
                </c:pt>
                <c:pt idx="3">
                  <c:v>6.56</c:v>
                </c:pt>
                <c:pt idx="4">
                  <c:v>5.48</c:v>
                </c:pt>
                <c:pt idx="5">
                  <c:v>4.79</c:v>
                </c:pt>
                <c:pt idx="6">
                  <c:v>4.3</c:v>
                </c:pt>
                <c:pt idx="7">
                  <c:v>3.9</c:v>
                </c:pt>
                <c:pt idx="8">
                  <c:v>3.63</c:v>
                </c:pt>
                <c:pt idx="9">
                  <c:v>3.41</c:v>
                </c:pt>
                <c:pt idx="10">
                  <c:v>3.19</c:v>
                </c:pt>
                <c:pt idx="11">
                  <c:v>3.04</c:v>
                </c:pt>
                <c:pt idx="12">
                  <c:v>2.92</c:v>
                </c:pt>
                <c:pt idx="13">
                  <c:v>2.81</c:v>
                </c:pt>
                <c:pt idx="14">
                  <c:v>2.71</c:v>
                </c:pt>
                <c:pt idx="15">
                  <c:v>2.63</c:v>
                </c:pt>
                <c:pt idx="16">
                  <c:v>2.5499999999999998</c:v>
                </c:pt>
                <c:pt idx="17">
                  <c:v>2.4900000000000002</c:v>
                </c:pt>
                <c:pt idx="18">
                  <c:v>2.42</c:v>
                </c:pt>
                <c:pt idx="19">
                  <c:v>2.37</c:v>
                </c:pt>
                <c:pt idx="20">
                  <c:v>2.3199999999999998</c:v>
                </c:pt>
              </c:numCache>
            </c:numRef>
          </c:yVal>
          <c:smooth val="1"/>
          <c:extLst>
            <c:ext xmlns:c16="http://schemas.microsoft.com/office/drawing/2014/chart" uri="{C3380CC4-5D6E-409C-BE32-E72D297353CC}">
              <c16:uniqueId val="{00000002-55D4-4BE6-ACCD-12C5CB712E1B}"/>
            </c:ext>
          </c:extLst>
        </c:ser>
        <c:ser>
          <c:idx val="3"/>
          <c:order val="3"/>
          <c:tx>
            <c:strRef>
              <c:f>'Pipe Insulation Losses'!$H$4:$I$4</c:f>
              <c:strCache>
                <c:ptCount val="1"/>
                <c:pt idx="0">
                  <c:v>130°F Water</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Losses'!$I$6:$I$26</c:f>
              <c:numCache>
                <c:formatCode>#,##0.0</c:formatCode>
                <c:ptCount val="21"/>
                <c:pt idx="0">
                  <c:v>94.75</c:v>
                </c:pt>
                <c:pt idx="1">
                  <c:v>23.18</c:v>
                </c:pt>
                <c:pt idx="2">
                  <c:v>14.01</c:v>
                </c:pt>
                <c:pt idx="3">
                  <c:v>10.57</c:v>
                </c:pt>
                <c:pt idx="4">
                  <c:v>8.82</c:v>
                </c:pt>
                <c:pt idx="5">
                  <c:v>7.7</c:v>
                </c:pt>
                <c:pt idx="6">
                  <c:v>6.91</c:v>
                </c:pt>
                <c:pt idx="7">
                  <c:v>6.26</c:v>
                </c:pt>
                <c:pt idx="8">
                  <c:v>5.82</c:v>
                </c:pt>
                <c:pt idx="9">
                  <c:v>5.47</c:v>
                </c:pt>
                <c:pt idx="10">
                  <c:v>5.12</c:v>
                </c:pt>
                <c:pt idx="11">
                  <c:v>4.88</c:v>
                </c:pt>
                <c:pt idx="12">
                  <c:v>4.68</c:v>
                </c:pt>
                <c:pt idx="13">
                  <c:v>4.51</c:v>
                </c:pt>
                <c:pt idx="14">
                  <c:v>4.3600000000000003</c:v>
                </c:pt>
                <c:pt idx="15">
                  <c:v>4.22</c:v>
                </c:pt>
                <c:pt idx="16">
                  <c:v>4.0999999999999996</c:v>
                </c:pt>
                <c:pt idx="17">
                  <c:v>3.99</c:v>
                </c:pt>
                <c:pt idx="18">
                  <c:v>3.89</c:v>
                </c:pt>
                <c:pt idx="19">
                  <c:v>3.8</c:v>
                </c:pt>
                <c:pt idx="20">
                  <c:v>3.72</c:v>
                </c:pt>
              </c:numCache>
            </c:numRef>
          </c:yVal>
          <c:smooth val="1"/>
          <c:extLst>
            <c:ext xmlns:c16="http://schemas.microsoft.com/office/drawing/2014/chart" uri="{C3380CC4-5D6E-409C-BE32-E72D297353CC}">
              <c16:uniqueId val="{00000003-55D4-4BE6-ACCD-12C5CB712E1B}"/>
            </c:ext>
          </c:extLst>
        </c:ser>
        <c:ser>
          <c:idx val="4"/>
          <c:order val="4"/>
          <c:tx>
            <c:strRef>
              <c:f>'Pipe Insulation Losses'!$J$4:$K$4</c:f>
              <c:strCache>
                <c:ptCount val="1"/>
                <c:pt idx="0">
                  <c:v>150°F Water</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Losses'!$K$6:$K$26</c:f>
              <c:numCache>
                <c:formatCode>#,##0.0</c:formatCode>
                <c:ptCount val="21"/>
                <c:pt idx="0">
                  <c:v>138.19999999999999</c:v>
                </c:pt>
                <c:pt idx="1">
                  <c:v>32.56</c:v>
                </c:pt>
                <c:pt idx="2">
                  <c:v>19.61</c:v>
                </c:pt>
                <c:pt idx="3">
                  <c:v>14.77</c:v>
                </c:pt>
                <c:pt idx="4">
                  <c:v>12.31</c:v>
                </c:pt>
                <c:pt idx="5">
                  <c:v>10.74</c:v>
                </c:pt>
                <c:pt idx="6">
                  <c:v>9.64</c:v>
                </c:pt>
                <c:pt idx="7">
                  <c:v>8.74</c:v>
                </c:pt>
                <c:pt idx="8">
                  <c:v>8.1300000000000008</c:v>
                </c:pt>
                <c:pt idx="9">
                  <c:v>7.63</c:v>
                </c:pt>
                <c:pt idx="10">
                  <c:v>7.14</c:v>
                </c:pt>
                <c:pt idx="11">
                  <c:v>6.81</c:v>
                </c:pt>
                <c:pt idx="12">
                  <c:v>6.53</c:v>
                </c:pt>
                <c:pt idx="13">
                  <c:v>6.29</c:v>
                </c:pt>
                <c:pt idx="14">
                  <c:v>6.08</c:v>
                </c:pt>
                <c:pt idx="15">
                  <c:v>5.89</c:v>
                </c:pt>
                <c:pt idx="16">
                  <c:v>5.72</c:v>
                </c:pt>
                <c:pt idx="17">
                  <c:v>5.57</c:v>
                </c:pt>
                <c:pt idx="18">
                  <c:v>5.43</c:v>
                </c:pt>
                <c:pt idx="19">
                  <c:v>5.3</c:v>
                </c:pt>
                <c:pt idx="20">
                  <c:v>5.19</c:v>
                </c:pt>
              </c:numCache>
            </c:numRef>
          </c:yVal>
          <c:smooth val="1"/>
          <c:extLst>
            <c:ext xmlns:c16="http://schemas.microsoft.com/office/drawing/2014/chart" uri="{C3380CC4-5D6E-409C-BE32-E72D297353CC}">
              <c16:uniqueId val="{00000004-55D4-4BE6-ACCD-12C5CB712E1B}"/>
            </c:ext>
          </c:extLst>
        </c:ser>
        <c:ser>
          <c:idx val="5"/>
          <c:order val="5"/>
          <c:tx>
            <c:strRef>
              <c:f>'Pipe Insulation Losses'!$L$4:$M$4</c:f>
              <c:strCache>
                <c:ptCount val="1"/>
                <c:pt idx="0">
                  <c:v>170°F Water</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Losses'!$M$6:$M$26</c:f>
              <c:numCache>
                <c:formatCode>#,##0.0</c:formatCode>
                <c:ptCount val="21"/>
                <c:pt idx="0">
                  <c:v>185.3</c:v>
                </c:pt>
                <c:pt idx="1">
                  <c:v>42.45</c:v>
                </c:pt>
                <c:pt idx="2">
                  <c:v>25.49</c:v>
                </c:pt>
                <c:pt idx="3">
                  <c:v>19.170000000000002</c:v>
                </c:pt>
                <c:pt idx="4">
                  <c:v>15.98</c:v>
                </c:pt>
                <c:pt idx="5">
                  <c:v>13.93</c:v>
                </c:pt>
                <c:pt idx="6">
                  <c:v>12.51</c:v>
                </c:pt>
                <c:pt idx="7">
                  <c:v>11.33</c:v>
                </c:pt>
                <c:pt idx="8">
                  <c:v>10.54</c:v>
                </c:pt>
                <c:pt idx="9">
                  <c:v>9.9</c:v>
                </c:pt>
                <c:pt idx="10">
                  <c:v>9.26</c:v>
                </c:pt>
                <c:pt idx="11">
                  <c:v>8.83</c:v>
                </c:pt>
                <c:pt idx="12">
                  <c:v>8.4700000000000006</c:v>
                </c:pt>
                <c:pt idx="13">
                  <c:v>8.15</c:v>
                </c:pt>
                <c:pt idx="14">
                  <c:v>7.88</c:v>
                </c:pt>
                <c:pt idx="15">
                  <c:v>7.63</c:v>
                </c:pt>
                <c:pt idx="16">
                  <c:v>7.41</c:v>
                </c:pt>
                <c:pt idx="17">
                  <c:v>7.21</c:v>
                </c:pt>
                <c:pt idx="18">
                  <c:v>7.04</c:v>
                </c:pt>
                <c:pt idx="19">
                  <c:v>6.87</c:v>
                </c:pt>
                <c:pt idx="20">
                  <c:v>6.72</c:v>
                </c:pt>
              </c:numCache>
            </c:numRef>
          </c:yVal>
          <c:smooth val="1"/>
          <c:extLst>
            <c:ext xmlns:c16="http://schemas.microsoft.com/office/drawing/2014/chart" uri="{C3380CC4-5D6E-409C-BE32-E72D297353CC}">
              <c16:uniqueId val="{00000005-55D4-4BE6-ACCD-12C5CB712E1B}"/>
            </c:ext>
          </c:extLst>
        </c:ser>
        <c:ser>
          <c:idx val="6"/>
          <c:order val="6"/>
          <c:tx>
            <c:strRef>
              <c:f>'Pipe Insulation Losses'!$N$4:$O$4</c:f>
              <c:strCache>
                <c:ptCount val="1"/>
                <c:pt idx="0">
                  <c:v>190°F Water</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Losses'!$O$6:$O$26</c:f>
              <c:numCache>
                <c:formatCode>#,##0.0</c:formatCode>
                <c:ptCount val="21"/>
                <c:pt idx="0">
                  <c:v>235.9</c:v>
                </c:pt>
                <c:pt idx="1">
                  <c:v>52.88</c:v>
                </c:pt>
                <c:pt idx="2">
                  <c:v>31.66</c:v>
                </c:pt>
                <c:pt idx="3">
                  <c:v>23.8</c:v>
                </c:pt>
                <c:pt idx="4">
                  <c:v>19.82</c:v>
                </c:pt>
                <c:pt idx="5">
                  <c:v>17.28</c:v>
                </c:pt>
                <c:pt idx="6">
                  <c:v>15.51</c:v>
                </c:pt>
                <c:pt idx="7">
                  <c:v>14.05</c:v>
                </c:pt>
                <c:pt idx="8">
                  <c:v>13.07</c:v>
                </c:pt>
                <c:pt idx="9">
                  <c:v>12.27</c:v>
                </c:pt>
                <c:pt idx="10">
                  <c:v>11.47</c:v>
                </c:pt>
                <c:pt idx="11">
                  <c:v>10.95</c:v>
                </c:pt>
                <c:pt idx="12">
                  <c:v>10.5</c:v>
                </c:pt>
                <c:pt idx="13">
                  <c:v>10.11</c:v>
                </c:pt>
                <c:pt idx="14">
                  <c:v>9.76</c:v>
                </c:pt>
                <c:pt idx="15">
                  <c:v>9.4600000000000009</c:v>
                </c:pt>
                <c:pt idx="16">
                  <c:v>9.19</c:v>
                </c:pt>
                <c:pt idx="17">
                  <c:v>8.94</c:v>
                </c:pt>
                <c:pt idx="18">
                  <c:v>8.7200000000000006</c:v>
                </c:pt>
                <c:pt idx="19">
                  <c:v>8.52</c:v>
                </c:pt>
                <c:pt idx="20">
                  <c:v>8.34</c:v>
                </c:pt>
              </c:numCache>
            </c:numRef>
          </c:yVal>
          <c:smooth val="1"/>
          <c:extLst>
            <c:ext xmlns:c16="http://schemas.microsoft.com/office/drawing/2014/chart" uri="{C3380CC4-5D6E-409C-BE32-E72D297353CC}">
              <c16:uniqueId val="{00000006-55D4-4BE6-ACCD-12C5CB712E1B}"/>
            </c:ext>
          </c:extLst>
        </c:ser>
        <c:ser>
          <c:idx val="7"/>
          <c:order val="7"/>
          <c:tx>
            <c:strRef>
              <c:f>'Pipe Insulation Losses'!$P$4:$Q$4</c:f>
              <c:strCache>
                <c:ptCount val="1"/>
                <c:pt idx="0">
                  <c:v>210°F Water</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Losses'!$Q$6:$Q$26</c:f>
              <c:numCache>
                <c:formatCode>#,##0.0</c:formatCode>
                <c:ptCount val="21"/>
                <c:pt idx="0">
                  <c:v>289.89999999999998</c:v>
                </c:pt>
                <c:pt idx="1">
                  <c:v>63.87</c:v>
                </c:pt>
                <c:pt idx="2">
                  <c:v>38.159999999999997</c:v>
                </c:pt>
                <c:pt idx="3">
                  <c:v>28.66</c:v>
                </c:pt>
                <c:pt idx="4">
                  <c:v>23.86</c:v>
                </c:pt>
                <c:pt idx="5">
                  <c:v>20.8</c:v>
                </c:pt>
                <c:pt idx="6">
                  <c:v>18.670000000000002</c:v>
                </c:pt>
                <c:pt idx="7">
                  <c:v>16.91</c:v>
                </c:pt>
                <c:pt idx="8">
                  <c:v>15.72</c:v>
                </c:pt>
                <c:pt idx="9">
                  <c:v>14.76</c:v>
                </c:pt>
                <c:pt idx="10">
                  <c:v>13.8</c:v>
                </c:pt>
                <c:pt idx="11">
                  <c:v>13.17</c:v>
                </c:pt>
                <c:pt idx="12">
                  <c:v>12.63</c:v>
                </c:pt>
                <c:pt idx="13">
                  <c:v>12.16</c:v>
                </c:pt>
                <c:pt idx="14">
                  <c:v>11.74</c:v>
                </c:pt>
                <c:pt idx="15">
                  <c:v>11.38</c:v>
                </c:pt>
                <c:pt idx="16">
                  <c:v>11.05</c:v>
                </c:pt>
                <c:pt idx="17">
                  <c:v>10.76</c:v>
                </c:pt>
                <c:pt idx="18">
                  <c:v>10.49</c:v>
                </c:pt>
                <c:pt idx="19">
                  <c:v>10.25</c:v>
                </c:pt>
                <c:pt idx="20">
                  <c:v>10.02</c:v>
                </c:pt>
              </c:numCache>
            </c:numRef>
          </c:yVal>
          <c:smooth val="1"/>
          <c:extLst>
            <c:ext xmlns:c16="http://schemas.microsoft.com/office/drawing/2014/chart" uri="{C3380CC4-5D6E-409C-BE32-E72D297353CC}">
              <c16:uniqueId val="{00000007-55D4-4BE6-ACCD-12C5CB712E1B}"/>
            </c:ext>
          </c:extLst>
        </c:ser>
        <c:ser>
          <c:idx val="9"/>
          <c:order val="8"/>
          <c:tx>
            <c:strRef>
              <c:f>'Pipe Insulation Losses'!$R$4:$S$4</c:f>
              <c:strCache>
                <c:ptCount val="1"/>
                <c:pt idx="0">
                  <c:v>280°F Steam</c:v>
                </c:pt>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Losses'!$S$6:$S$26</c:f>
              <c:numCache>
                <c:formatCode>#,##0.0</c:formatCode>
                <c:ptCount val="21"/>
                <c:pt idx="0">
                  <c:v>506.6</c:v>
                </c:pt>
                <c:pt idx="1">
                  <c:v>107.2</c:v>
                </c:pt>
                <c:pt idx="2">
                  <c:v>63.65</c:v>
                </c:pt>
                <c:pt idx="3">
                  <c:v>47.7</c:v>
                </c:pt>
                <c:pt idx="4">
                  <c:v>39.67</c:v>
                </c:pt>
                <c:pt idx="5">
                  <c:v>34.56</c:v>
                </c:pt>
                <c:pt idx="6">
                  <c:v>31.01</c:v>
                </c:pt>
                <c:pt idx="7">
                  <c:v>28.07</c:v>
                </c:pt>
                <c:pt idx="8">
                  <c:v>26.1</c:v>
                </c:pt>
                <c:pt idx="9">
                  <c:v>24.51</c:v>
                </c:pt>
                <c:pt idx="10">
                  <c:v>22.91</c:v>
                </c:pt>
                <c:pt idx="11">
                  <c:v>21.86</c:v>
                </c:pt>
                <c:pt idx="12">
                  <c:v>20.95</c:v>
                </c:pt>
                <c:pt idx="13">
                  <c:v>20.170000000000002</c:v>
                </c:pt>
                <c:pt idx="14">
                  <c:v>19.489999999999998</c:v>
                </c:pt>
                <c:pt idx="15">
                  <c:v>18.88</c:v>
                </c:pt>
                <c:pt idx="16">
                  <c:v>18.329999999999998</c:v>
                </c:pt>
                <c:pt idx="17">
                  <c:v>17.850000000000001</c:v>
                </c:pt>
                <c:pt idx="18">
                  <c:v>17.399999999999999</c:v>
                </c:pt>
                <c:pt idx="19">
                  <c:v>17</c:v>
                </c:pt>
                <c:pt idx="20">
                  <c:v>16.63</c:v>
                </c:pt>
              </c:numCache>
            </c:numRef>
          </c:yVal>
          <c:smooth val="1"/>
          <c:extLst>
            <c:ext xmlns:c16="http://schemas.microsoft.com/office/drawing/2014/chart" uri="{C3380CC4-5D6E-409C-BE32-E72D297353CC}">
              <c16:uniqueId val="{00000008-55D4-4BE6-ACCD-12C5CB712E1B}"/>
            </c:ext>
          </c:extLst>
        </c:ser>
        <c:ser>
          <c:idx val="8"/>
          <c:order val="9"/>
          <c:tx>
            <c:strRef>
              <c:f>'Pipe Insulation Losses'!$T$4:$U$4</c:f>
              <c:strCache>
                <c:ptCount val="1"/>
                <c:pt idx="0">
                  <c:v>350°F Steam</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Losses'!$U$6:$U$26</c:f>
              <c:numCache>
                <c:formatCode>#,##0.0</c:formatCode>
                <c:ptCount val="21"/>
                <c:pt idx="0">
                  <c:v>768.8</c:v>
                </c:pt>
                <c:pt idx="1">
                  <c:v>159.1</c:v>
                </c:pt>
                <c:pt idx="2">
                  <c:v>94.07</c:v>
                </c:pt>
                <c:pt idx="3">
                  <c:v>70.38</c:v>
                </c:pt>
                <c:pt idx="4">
                  <c:v>58.49</c:v>
                </c:pt>
                <c:pt idx="5">
                  <c:v>50.94</c:v>
                </c:pt>
                <c:pt idx="6">
                  <c:v>45.68</c:v>
                </c:pt>
                <c:pt idx="7">
                  <c:v>41.35</c:v>
                </c:pt>
                <c:pt idx="8">
                  <c:v>38.43</c:v>
                </c:pt>
                <c:pt idx="9">
                  <c:v>36.090000000000003</c:v>
                </c:pt>
                <c:pt idx="10">
                  <c:v>33.729999999999997</c:v>
                </c:pt>
                <c:pt idx="11">
                  <c:v>32.18</c:v>
                </c:pt>
                <c:pt idx="12">
                  <c:v>30.85</c:v>
                </c:pt>
                <c:pt idx="13">
                  <c:v>29.69</c:v>
                </c:pt>
                <c:pt idx="14">
                  <c:v>28.68</c:v>
                </c:pt>
                <c:pt idx="15">
                  <c:v>27.79</c:v>
                </c:pt>
                <c:pt idx="16">
                  <c:v>26.99</c:v>
                </c:pt>
                <c:pt idx="17">
                  <c:v>26.27</c:v>
                </c:pt>
                <c:pt idx="18">
                  <c:v>25.61</c:v>
                </c:pt>
                <c:pt idx="19">
                  <c:v>25.02</c:v>
                </c:pt>
                <c:pt idx="20">
                  <c:v>24.48</c:v>
                </c:pt>
              </c:numCache>
            </c:numRef>
          </c:yVal>
          <c:smooth val="1"/>
          <c:extLst>
            <c:ext xmlns:c16="http://schemas.microsoft.com/office/drawing/2014/chart" uri="{C3380CC4-5D6E-409C-BE32-E72D297353CC}">
              <c16:uniqueId val="{00000009-55D4-4BE6-ACCD-12C5CB712E1B}"/>
            </c:ext>
          </c:extLst>
        </c:ser>
        <c:dLbls>
          <c:showLegendKey val="0"/>
          <c:showVal val="0"/>
          <c:showCatName val="0"/>
          <c:showSerName val="0"/>
          <c:showPercent val="0"/>
          <c:showBubbleSize val="0"/>
        </c:dLbls>
        <c:axId val="501973408"/>
        <c:axId val="501974976"/>
      </c:scatterChart>
      <c:valAx>
        <c:axId val="501973408"/>
        <c:scaling>
          <c:orientation val="minMax"/>
          <c:max val="10"/>
        </c:scaling>
        <c:delete val="0"/>
        <c:axPos val="b"/>
        <c:majorGridlines>
          <c:spPr>
            <a:ln w="9525" cap="flat" cmpd="sng" algn="ctr">
              <a:solidFill>
                <a:schemeClr val="bg1">
                  <a:lumMod val="95000"/>
                </a:schemeClr>
              </a:solidFill>
              <a:prstDash val="sysDot"/>
              <a:round/>
            </a:ln>
            <a:effectLst/>
          </c:spPr>
        </c:majorGridlines>
        <c:minorGridlines>
          <c:spPr>
            <a:ln w="9525" cap="flat" cmpd="sng" algn="ctr">
              <a:solidFill>
                <a:schemeClr val="bg1">
                  <a:lumMod val="50000"/>
                </a:schemeClr>
              </a:solidFill>
              <a:prstDash val="sysDot"/>
              <a:round/>
            </a:ln>
            <a:effectLst/>
          </c:spPr>
        </c:minorGridlines>
        <c:title>
          <c:tx>
            <c:rich>
              <a:bodyPr rot="0" spcFirstLastPara="1" vertOverflow="ellipsis" vert="horz" wrap="square" anchor="ctr" anchorCtr="1"/>
              <a:lstStyle/>
              <a:p>
                <a:pPr>
                  <a:defRPr sz="1400" b="0" i="0" u="none" strike="noStrike" kern="1200" baseline="0">
                    <a:solidFill>
                      <a:schemeClr val="bg1"/>
                    </a:solidFill>
                    <a:latin typeface="Comic Sans MS" panose="030F0702030302020204" pitchFamily="66" charset="0"/>
                    <a:ea typeface="+mn-ea"/>
                    <a:cs typeface="+mn-cs"/>
                  </a:defRPr>
                </a:pPr>
                <a:r>
                  <a:rPr lang="en-US" sz="1400"/>
                  <a:t>Insulation</a:t>
                </a:r>
                <a:r>
                  <a:rPr lang="en-US" sz="1400" baseline="0"/>
                  <a:t> Thickness, inches</a:t>
                </a:r>
                <a:endParaRPr lang="en-US" sz="1400"/>
              </a:p>
            </c:rich>
          </c:tx>
          <c:layout>
            <c:manualLayout>
              <c:xMode val="edge"/>
              <c:yMode val="edge"/>
              <c:x val="0.47966166425552054"/>
              <c:y val="0.8320698321800683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Comic Sans MS" panose="030F0702030302020204" pitchFamily="66" charset="0"/>
                  <a:ea typeface="+mn-ea"/>
                  <a:cs typeface="+mn-cs"/>
                </a:defRPr>
              </a:pPr>
              <a:endParaRPr lang="en-US"/>
            </a:p>
          </c:txPr>
        </c:title>
        <c:numFmt formatCode="#,##0.0" sourceLinked="1"/>
        <c:majorTickMark val="out"/>
        <c:minorTickMark val="out"/>
        <c:tickLblPos val="nextTo"/>
        <c:spPr>
          <a:noFill/>
          <a:ln w="25400" cap="flat" cmpd="sng" algn="ctr">
            <a:solidFill>
              <a:schemeClr val="bg1"/>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Comic Sans MS" panose="030F0702030302020204" pitchFamily="66" charset="0"/>
                <a:ea typeface="+mn-ea"/>
                <a:cs typeface="+mn-cs"/>
              </a:defRPr>
            </a:pPr>
            <a:endParaRPr lang="en-US"/>
          </a:p>
        </c:txPr>
        <c:crossAx val="501974976"/>
        <c:crosses val="autoZero"/>
        <c:crossBetween val="midCat"/>
        <c:minorUnit val="0.25"/>
      </c:valAx>
      <c:valAx>
        <c:axId val="501974976"/>
        <c:scaling>
          <c:orientation val="minMax"/>
          <c:max val="800"/>
          <c:min val="0"/>
        </c:scaling>
        <c:delete val="0"/>
        <c:axPos val="l"/>
        <c:majorGridlines>
          <c:spPr>
            <a:ln w="9525" cap="flat" cmpd="sng" algn="ctr">
              <a:solidFill>
                <a:schemeClr val="bg1">
                  <a:lumMod val="95000"/>
                </a:schemeClr>
              </a:solidFill>
              <a:prstDash val="sysDot"/>
              <a:round/>
            </a:ln>
            <a:effectLst/>
          </c:spPr>
        </c:majorGridlines>
        <c:minorGridlines>
          <c:spPr>
            <a:ln w="9525" cap="flat" cmpd="sng" algn="ctr">
              <a:solidFill>
                <a:schemeClr val="bg1">
                  <a:lumMod val="50000"/>
                </a:schemeClr>
              </a:solidFill>
              <a:prstDash val="sysDot"/>
              <a:round/>
            </a:ln>
            <a:effectLst/>
          </c:spPr>
        </c:minorGridlines>
        <c:title>
          <c:tx>
            <c:rich>
              <a:bodyPr rot="-5400000" spcFirstLastPara="1" vertOverflow="ellipsis" vert="horz" wrap="square" anchor="ctr" anchorCtr="1"/>
              <a:lstStyle/>
              <a:p>
                <a:pPr>
                  <a:defRPr sz="1400" b="0" i="0" u="none" strike="noStrike" kern="1200" baseline="0">
                    <a:solidFill>
                      <a:schemeClr val="bg1"/>
                    </a:solidFill>
                    <a:latin typeface="Comic Sans MS" panose="030F0702030302020204" pitchFamily="66" charset="0"/>
                    <a:ea typeface="+mn-ea"/>
                    <a:cs typeface="+mn-cs"/>
                  </a:defRPr>
                </a:pPr>
                <a:r>
                  <a:rPr lang="en-US" sz="1400"/>
                  <a:t>Heat Loss, Btu/hr</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bg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bg1"/>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Comic Sans MS" panose="030F0702030302020204" pitchFamily="66" charset="0"/>
                <a:ea typeface="+mn-ea"/>
                <a:cs typeface="+mn-cs"/>
              </a:defRPr>
            </a:pPr>
            <a:endParaRPr lang="en-US"/>
          </a:p>
        </c:txPr>
        <c:crossAx val="501973408"/>
        <c:crosses val="autoZero"/>
        <c:crossBetween val="midCat"/>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Comic Sans MS" panose="030F0702030302020204" pitchFamily="66" charset="0"/>
              <a:ea typeface="+mn-ea"/>
              <a:cs typeface="+mn-cs"/>
            </a:defRPr>
          </a:pPr>
          <a:endParaRPr lang="en-US"/>
        </a:p>
      </c:txPr>
    </c:legend>
    <c:plotVisOnly val="1"/>
    <c:dispBlanksAs val="gap"/>
    <c:showDLblsOverMax val="0"/>
  </c:chart>
  <c:spPr>
    <a:solidFill>
      <a:schemeClr val="tx1"/>
    </a:solidFill>
    <a:ln w="9525" cap="flat" cmpd="sng" algn="ctr">
      <a:noFill/>
      <a:round/>
    </a:ln>
    <a:effectLst/>
  </c:spPr>
  <c:txPr>
    <a:bodyPr/>
    <a:lstStyle/>
    <a:p>
      <a:pPr>
        <a:defRPr sz="1200">
          <a:solidFill>
            <a:schemeClr val="bg1"/>
          </a:solidFill>
          <a:latin typeface="Comic Sans MS" panose="030F0702030302020204" pitchFamily="66"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bg1"/>
                </a:solidFill>
                <a:latin typeface="Arial" panose="020B0604020202020204" pitchFamily="34" charset="0"/>
                <a:ea typeface="+mn-ea"/>
                <a:cs typeface="Arial" panose="020B0604020202020204" pitchFamily="34" charset="0"/>
              </a:defRPr>
            </a:pPr>
            <a:r>
              <a:rPr lang="en-US" sz="1800">
                <a:latin typeface="Arial" panose="020B0604020202020204" pitchFamily="34" charset="0"/>
                <a:cs typeface="Arial" panose="020B0604020202020204" pitchFamily="34" charset="0"/>
              </a:rPr>
              <a:t>Heat</a:t>
            </a:r>
            <a:r>
              <a:rPr lang="en-US" sz="1800" baseline="0">
                <a:latin typeface="Arial" panose="020B0604020202020204" pitchFamily="34" charset="0"/>
                <a:cs typeface="Arial" panose="020B0604020202020204" pitchFamily="34" charset="0"/>
              </a:rPr>
              <a:t> Loss vs. Insulation Thickness</a:t>
            </a:r>
          </a:p>
          <a:p>
            <a:pPr>
              <a:defRPr sz="18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3 inch line, 75°F Ambient</a:t>
            </a:r>
            <a:r>
              <a:rPr lang="en-US" sz="1400" baseline="0">
                <a:latin typeface="Arial" panose="020B0604020202020204" pitchFamily="34" charset="0"/>
                <a:cs typeface="Arial" panose="020B0604020202020204" pitchFamily="34" charset="0"/>
              </a:rPr>
              <a:t> temperature</a:t>
            </a:r>
          </a:p>
          <a:p>
            <a:pPr>
              <a:defRPr sz="1800">
                <a:latin typeface="Arial" panose="020B0604020202020204" pitchFamily="34" charset="0"/>
                <a:cs typeface="Arial" panose="020B0604020202020204" pitchFamily="34" charset="0"/>
              </a:defRPr>
            </a:pPr>
            <a:r>
              <a:rPr lang="en-US" sz="1400" baseline="0">
                <a:latin typeface="Arial" panose="020B0604020202020204" pitchFamily="34" charset="0"/>
                <a:cs typeface="Arial" panose="020B0604020202020204" pitchFamily="34" charset="0"/>
              </a:rPr>
              <a:t>Calculated using 3E Plus</a:t>
            </a:r>
            <a:endParaRPr lang="en-US" sz="140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bg1"/>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smoothMarker"/>
        <c:varyColors val="0"/>
        <c:ser>
          <c:idx val="1"/>
          <c:order val="0"/>
          <c:tx>
            <c:strRef>
              <c:f>'Pipe Insulation Losses'!$D$4:$E$4</c:f>
              <c:strCache>
                <c:ptCount val="1"/>
                <c:pt idx="0">
                  <c:v>90°F Water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Losses'!$E$6:$E$26</c:f>
              <c:numCache>
                <c:formatCode>#,##0.0</c:formatCode>
                <c:ptCount val="21"/>
                <c:pt idx="0">
                  <c:v>20.78</c:v>
                </c:pt>
                <c:pt idx="1">
                  <c:v>5.89</c:v>
                </c:pt>
                <c:pt idx="2">
                  <c:v>3.62</c:v>
                </c:pt>
                <c:pt idx="3">
                  <c:v>2.74</c:v>
                </c:pt>
                <c:pt idx="4">
                  <c:v>2.29</c:v>
                </c:pt>
                <c:pt idx="5">
                  <c:v>2</c:v>
                </c:pt>
                <c:pt idx="6">
                  <c:v>1.8</c:v>
                </c:pt>
                <c:pt idx="7">
                  <c:v>1.63</c:v>
                </c:pt>
                <c:pt idx="8">
                  <c:v>1.52</c:v>
                </c:pt>
                <c:pt idx="9">
                  <c:v>1.43</c:v>
                </c:pt>
                <c:pt idx="10">
                  <c:v>1.34</c:v>
                </c:pt>
                <c:pt idx="11">
                  <c:v>1.28</c:v>
                </c:pt>
                <c:pt idx="12">
                  <c:v>1.22</c:v>
                </c:pt>
                <c:pt idx="13">
                  <c:v>1.18</c:v>
                </c:pt>
                <c:pt idx="14">
                  <c:v>1.1399999999999999</c:v>
                </c:pt>
                <c:pt idx="15">
                  <c:v>1.1000000000000001</c:v>
                </c:pt>
                <c:pt idx="16">
                  <c:v>1.07</c:v>
                </c:pt>
                <c:pt idx="17">
                  <c:v>1.04</c:v>
                </c:pt>
                <c:pt idx="18">
                  <c:v>1.02</c:v>
                </c:pt>
                <c:pt idx="19">
                  <c:v>0.99</c:v>
                </c:pt>
                <c:pt idx="20">
                  <c:v>0.97</c:v>
                </c:pt>
              </c:numCache>
            </c:numRef>
          </c:yVal>
          <c:smooth val="1"/>
          <c:extLst>
            <c:ext xmlns:c16="http://schemas.microsoft.com/office/drawing/2014/chart" uri="{C3380CC4-5D6E-409C-BE32-E72D297353CC}">
              <c16:uniqueId val="{00000000-F744-471C-B71D-503634A31ABF}"/>
            </c:ext>
          </c:extLst>
        </c:ser>
        <c:ser>
          <c:idx val="5"/>
          <c:order val="1"/>
          <c:tx>
            <c:strRef>
              <c:f>'Pipe Insulation Losses'!$L$4:$M$4</c:f>
              <c:strCache>
                <c:ptCount val="1"/>
                <c:pt idx="0">
                  <c:v>170°F Water</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'Pipe Insulation Losses'!$A$6:$A$26</c:f>
              <c:numCache>
                <c:formatCode>#,##0.0</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xVal>
          <c:yVal>
            <c:numRef>
              <c:f>'Pipe Insulation Losses'!$M$6:$M$26</c:f>
              <c:numCache>
                <c:formatCode>#,##0.0</c:formatCode>
                <c:ptCount val="21"/>
                <c:pt idx="0">
                  <c:v>185.3</c:v>
                </c:pt>
                <c:pt idx="1">
                  <c:v>42.45</c:v>
                </c:pt>
                <c:pt idx="2">
                  <c:v>25.49</c:v>
                </c:pt>
                <c:pt idx="3">
                  <c:v>19.170000000000002</c:v>
                </c:pt>
                <c:pt idx="4">
                  <c:v>15.98</c:v>
                </c:pt>
                <c:pt idx="5">
                  <c:v>13.93</c:v>
                </c:pt>
                <c:pt idx="6">
                  <c:v>12.51</c:v>
                </c:pt>
                <c:pt idx="7">
                  <c:v>11.33</c:v>
                </c:pt>
                <c:pt idx="8">
                  <c:v>10.54</c:v>
                </c:pt>
                <c:pt idx="9">
                  <c:v>9.9</c:v>
                </c:pt>
                <c:pt idx="10">
                  <c:v>9.26</c:v>
                </c:pt>
                <c:pt idx="11">
                  <c:v>8.83</c:v>
                </c:pt>
                <c:pt idx="12">
                  <c:v>8.4700000000000006</c:v>
                </c:pt>
                <c:pt idx="13">
                  <c:v>8.15</c:v>
                </c:pt>
                <c:pt idx="14">
                  <c:v>7.88</c:v>
                </c:pt>
                <c:pt idx="15">
                  <c:v>7.63</c:v>
                </c:pt>
                <c:pt idx="16">
                  <c:v>7.41</c:v>
                </c:pt>
                <c:pt idx="17">
                  <c:v>7.21</c:v>
                </c:pt>
                <c:pt idx="18">
                  <c:v>7.04</c:v>
                </c:pt>
                <c:pt idx="19">
                  <c:v>6.87</c:v>
                </c:pt>
                <c:pt idx="20">
                  <c:v>6.72</c:v>
                </c:pt>
              </c:numCache>
            </c:numRef>
          </c:yVal>
          <c:smooth val="1"/>
          <c:extLst>
            <c:ext xmlns:c16="http://schemas.microsoft.com/office/drawing/2014/chart" uri="{C3380CC4-5D6E-409C-BE32-E72D297353CC}">
              <c16:uniqueId val="{00000001-F744-471C-B71D-503634A31ABF}"/>
            </c:ext>
          </c:extLst>
        </c:ser>
        <c:dLbls>
          <c:showLegendKey val="0"/>
          <c:showVal val="0"/>
          <c:showCatName val="0"/>
          <c:showSerName val="0"/>
          <c:showPercent val="0"/>
          <c:showBubbleSize val="0"/>
        </c:dLbls>
        <c:axId val="501968312"/>
        <c:axId val="501971448"/>
      </c:scatterChart>
      <c:valAx>
        <c:axId val="501968312"/>
        <c:scaling>
          <c:orientation val="minMax"/>
          <c:max val="10"/>
        </c:scaling>
        <c:delete val="0"/>
        <c:axPos val="b"/>
        <c:majorGridlines>
          <c:spPr>
            <a:ln w="9525" cap="flat" cmpd="sng" algn="ctr">
              <a:solidFill>
                <a:schemeClr val="bg1">
                  <a:lumMod val="95000"/>
                </a:schemeClr>
              </a:solidFill>
              <a:prstDash val="sysDot"/>
              <a:round/>
            </a:ln>
            <a:effectLst/>
          </c:spPr>
        </c:majorGridlines>
        <c:minorGridlines>
          <c:spPr>
            <a:ln w="9525" cap="flat" cmpd="sng" algn="ctr">
              <a:solidFill>
                <a:schemeClr val="bg1">
                  <a:lumMod val="50000"/>
                </a:schemeClr>
              </a:solidFill>
              <a:prstDash val="sysDot"/>
              <a:round/>
            </a:ln>
            <a:effectLst/>
          </c:spPr>
        </c:minorGridlines>
        <c:title>
          <c:tx>
            <c:rich>
              <a:bodyPr rot="0" spcFirstLastPara="1" vertOverflow="ellipsis" vert="horz" wrap="square" anchor="ctr" anchorCtr="1"/>
              <a:lstStyle/>
              <a:p>
                <a:pPr>
                  <a:defRPr sz="1400" b="0" i="0" u="none" strike="noStrike" kern="1200" baseline="0">
                    <a:solidFill>
                      <a:schemeClr val="bg1"/>
                    </a:solidFill>
                    <a:latin typeface="Comic Sans MS" panose="030F0702030302020204" pitchFamily="66" charset="0"/>
                    <a:ea typeface="+mn-ea"/>
                    <a:cs typeface="+mn-cs"/>
                  </a:defRPr>
                </a:pPr>
                <a:r>
                  <a:rPr lang="en-US" sz="1400"/>
                  <a:t>Insulation</a:t>
                </a:r>
                <a:r>
                  <a:rPr lang="en-US" sz="1400" baseline="0"/>
                  <a:t> Thickness, inches</a:t>
                </a:r>
                <a:endParaRPr lang="en-US" sz="1400"/>
              </a:p>
            </c:rich>
          </c:tx>
          <c:layout>
            <c:manualLayout>
              <c:xMode val="edge"/>
              <c:yMode val="edge"/>
              <c:x val="0.47966166425552054"/>
              <c:y val="0.8320698321800683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Comic Sans MS" panose="030F0702030302020204" pitchFamily="66" charset="0"/>
                  <a:ea typeface="+mn-ea"/>
                  <a:cs typeface="+mn-cs"/>
                </a:defRPr>
              </a:pPr>
              <a:endParaRPr lang="en-US"/>
            </a:p>
          </c:txPr>
        </c:title>
        <c:numFmt formatCode="#,##0.0" sourceLinked="1"/>
        <c:majorTickMark val="out"/>
        <c:minorTickMark val="out"/>
        <c:tickLblPos val="nextTo"/>
        <c:spPr>
          <a:noFill/>
          <a:ln w="25400" cap="flat" cmpd="sng" algn="ctr">
            <a:solidFill>
              <a:schemeClr val="bg1"/>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Comic Sans MS" panose="030F0702030302020204" pitchFamily="66" charset="0"/>
                <a:ea typeface="+mn-ea"/>
                <a:cs typeface="+mn-cs"/>
              </a:defRPr>
            </a:pPr>
            <a:endParaRPr lang="en-US"/>
          </a:p>
        </c:txPr>
        <c:crossAx val="501971448"/>
        <c:crosses val="autoZero"/>
        <c:crossBetween val="midCat"/>
        <c:minorUnit val="0.25"/>
      </c:valAx>
      <c:valAx>
        <c:axId val="501971448"/>
        <c:scaling>
          <c:orientation val="minMax"/>
          <c:max val="200"/>
          <c:min val="0"/>
        </c:scaling>
        <c:delete val="0"/>
        <c:axPos val="l"/>
        <c:majorGridlines>
          <c:spPr>
            <a:ln w="9525" cap="flat" cmpd="sng" algn="ctr">
              <a:solidFill>
                <a:schemeClr val="bg1">
                  <a:lumMod val="95000"/>
                </a:schemeClr>
              </a:solidFill>
              <a:prstDash val="sysDot"/>
              <a:round/>
            </a:ln>
            <a:effectLst/>
          </c:spPr>
        </c:majorGridlines>
        <c:minorGridlines>
          <c:spPr>
            <a:ln w="9525" cap="flat" cmpd="sng" algn="ctr">
              <a:solidFill>
                <a:schemeClr val="bg1">
                  <a:lumMod val="50000"/>
                </a:schemeClr>
              </a:solidFill>
              <a:prstDash val="sysDot"/>
              <a:round/>
            </a:ln>
            <a:effectLst/>
          </c:spPr>
        </c:minorGridlines>
        <c:title>
          <c:tx>
            <c:rich>
              <a:bodyPr rot="-5400000" spcFirstLastPara="1" vertOverflow="ellipsis" vert="horz" wrap="square" anchor="ctr" anchorCtr="1"/>
              <a:lstStyle/>
              <a:p>
                <a:pPr>
                  <a:defRPr sz="1400" b="0" i="0" u="none" strike="noStrike" kern="1200" baseline="0">
                    <a:solidFill>
                      <a:schemeClr val="bg1"/>
                    </a:solidFill>
                    <a:latin typeface="Comic Sans MS" panose="030F0702030302020204" pitchFamily="66" charset="0"/>
                    <a:ea typeface="+mn-ea"/>
                    <a:cs typeface="+mn-cs"/>
                  </a:defRPr>
                </a:pPr>
                <a:r>
                  <a:rPr lang="en-US" sz="1400"/>
                  <a:t>Heat Loss, Btu/hr</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bg1"/>
                  </a:solidFill>
                  <a:latin typeface="Comic Sans MS" panose="030F0702030302020204" pitchFamily="66" charset="0"/>
                  <a:ea typeface="+mn-ea"/>
                  <a:cs typeface="+mn-cs"/>
                </a:defRPr>
              </a:pPr>
              <a:endParaRPr lang="en-US"/>
            </a:p>
          </c:txPr>
        </c:title>
        <c:numFmt formatCode="#,##0" sourceLinked="0"/>
        <c:majorTickMark val="out"/>
        <c:minorTickMark val="out"/>
        <c:tickLblPos val="nextTo"/>
        <c:spPr>
          <a:noFill/>
          <a:ln w="25400" cap="flat" cmpd="sng" algn="ctr">
            <a:solidFill>
              <a:schemeClr val="bg1"/>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Comic Sans MS" panose="030F0702030302020204" pitchFamily="66" charset="0"/>
                <a:ea typeface="+mn-ea"/>
                <a:cs typeface="+mn-cs"/>
              </a:defRPr>
            </a:pPr>
            <a:endParaRPr lang="en-US"/>
          </a:p>
        </c:txPr>
        <c:crossAx val="501968312"/>
        <c:crosses val="autoZero"/>
        <c:crossBetween val="midCat"/>
        <c:majorUnit val="40"/>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Comic Sans MS" panose="030F0702030302020204" pitchFamily="66" charset="0"/>
              <a:ea typeface="+mn-ea"/>
              <a:cs typeface="+mn-cs"/>
            </a:defRPr>
          </a:pPr>
          <a:endParaRPr lang="en-US"/>
        </a:p>
      </c:txPr>
    </c:legend>
    <c:plotVisOnly val="1"/>
    <c:dispBlanksAs val="gap"/>
    <c:showDLblsOverMax val="0"/>
  </c:chart>
  <c:spPr>
    <a:solidFill>
      <a:schemeClr val="tx1"/>
    </a:solidFill>
    <a:ln w="9525" cap="flat" cmpd="sng" algn="ctr">
      <a:noFill/>
      <a:round/>
    </a:ln>
    <a:effectLst/>
  </c:spPr>
  <c:txPr>
    <a:bodyPr/>
    <a:lstStyle/>
    <a:p>
      <a:pPr>
        <a:defRPr sz="1200">
          <a:solidFill>
            <a:schemeClr val="bg1"/>
          </a:solidFill>
          <a:latin typeface="Comic Sans MS" panose="030F0702030302020204" pitchFamily="66"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1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sheetViews>
    <sheetView zoomScale="83"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sheetViews>
    <sheetView zoomScale="8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chart" Target="../charts/chart2.xml"/><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2413000</xdr:colOff>
      <xdr:row>0</xdr:row>
      <xdr:rowOff>1676400</xdr:rowOff>
    </xdr:to>
    <xdr:pic>
      <xdr:nvPicPr>
        <xdr:cNvPr id="1057" name="Picture 33" descr="FDE new Logo">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4335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0</xdr:rowOff>
    </xdr:from>
    <xdr:to>
      <xdr:col>20</xdr:col>
      <xdr:colOff>704850</xdr:colOff>
      <xdr:row>25</xdr:row>
      <xdr:rowOff>66675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78325" y="0"/>
          <a:ext cx="10058400"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86</xdr:row>
      <xdr:rowOff>0</xdr:rowOff>
    </xdr:from>
    <xdr:to>
      <xdr:col>16</xdr:col>
      <xdr:colOff>899462</xdr:colOff>
      <xdr:row>103</xdr:row>
      <xdr:rowOff>216136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7121188" y="8012906"/>
          <a:ext cx="5209524" cy="4466667"/>
        </a:xfrm>
        <a:prstGeom prst="rect">
          <a:avLst/>
        </a:prstGeom>
      </xdr:spPr>
    </xdr:pic>
    <xdr:clientData/>
  </xdr:twoCellAnchor>
  <xdr:twoCellAnchor>
    <xdr:from>
      <xdr:col>3</xdr:col>
      <xdr:colOff>916781</xdr:colOff>
      <xdr:row>147</xdr:row>
      <xdr:rowOff>241695</xdr:rowOff>
    </xdr:from>
    <xdr:to>
      <xdr:col>11</xdr:col>
      <xdr:colOff>11906</xdr:colOff>
      <xdr:row>165</xdr:row>
      <xdr:rowOff>238123</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9525</xdr:colOff>
      <xdr:row>7</xdr:row>
      <xdr:rowOff>123825</xdr:rowOff>
    </xdr:from>
    <xdr:to>
      <xdr:col>25</xdr:col>
      <xdr:colOff>276225</xdr:colOff>
      <xdr:row>7</xdr:row>
      <xdr:rowOff>123825</xdr:rowOff>
    </xdr:to>
    <xdr:cxnSp macro="">
      <xdr:nvCxnSpPr>
        <xdr:cNvPr id="2" name="Straight Arrow Connector 1">
          <a:extLst>
            <a:ext uri="{FF2B5EF4-FFF2-40B4-BE49-F238E27FC236}">
              <a16:creationId xmlns:a16="http://schemas.microsoft.com/office/drawing/2014/main" id="{00000000-0008-0000-0B00-000002000000}"/>
            </a:ext>
          </a:extLst>
        </xdr:cNvPr>
        <xdr:cNvCxnSpPr/>
      </xdr:nvCxnSpPr>
      <xdr:spPr bwMode="auto">
        <a:xfrm>
          <a:off x="2343150" y="2324100"/>
          <a:ext cx="626745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66675</xdr:colOff>
      <xdr:row>7</xdr:row>
      <xdr:rowOff>123825</xdr:rowOff>
    </xdr:from>
    <xdr:to>
      <xdr:col>47</xdr:col>
      <xdr:colOff>0</xdr:colOff>
      <xdr:row>7</xdr:row>
      <xdr:rowOff>123825</xdr:rowOff>
    </xdr:to>
    <xdr:cxnSp macro="">
      <xdr:nvCxnSpPr>
        <xdr:cNvPr id="3" name="Straight Arrow Connector 2">
          <a:extLst>
            <a:ext uri="{FF2B5EF4-FFF2-40B4-BE49-F238E27FC236}">
              <a16:creationId xmlns:a16="http://schemas.microsoft.com/office/drawing/2014/main" id="{00000000-0008-0000-0B00-000003000000}"/>
            </a:ext>
          </a:extLst>
        </xdr:cNvPr>
        <xdr:cNvCxnSpPr/>
      </xdr:nvCxnSpPr>
      <xdr:spPr bwMode="auto">
        <a:xfrm flipH="1">
          <a:off x="9401175" y="2324100"/>
          <a:ext cx="626745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10</xdr:row>
      <xdr:rowOff>0</xdr:rowOff>
    </xdr:from>
    <xdr:to>
      <xdr:col>4</xdr:col>
      <xdr:colOff>161925</xdr:colOff>
      <xdr:row>13</xdr:row>
      <xdr:rowOff>76200</xdr:rowOff>
    </xdr:to>
    <xdr:cxnSp macro="">
      <xdr:nvCxnSpPr>
        <xdr:cNvPr id="4" name="Straight Arrow Connector 3">
          <a:extLst>
            <a:ext uri="{FF2B5EF4-FFF2-40B4-BE49-F238E27FC236}">
              <a16:creationId xmlns:a16="http://schemas.microsoft.com/office/drawing/2014/main" id="{00000000-0008-0000-0B00-000004000000}"/>
            </a:ext>
          </a:extLst>
        </xdr:cNvPr>
        <xdr:cNvCxnSpPr/>
      </xdr:nvCxnSpPr>
      <xdr:spPr bwMode="auto">
        <a:xfrm>
          <a:off x="1495425" y="3143250"/>
          <a:ext cx="0" cy="1019175"/>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16</xdr:row>
      <xdr:rowOff>161925</xdr:rowOff>
    </xdr:from>
    <xdr:to>
      <xdr:col>4</xdr:col>
      <xdr:colOff>161925</xdr:colOff>
      <xdr:row>19</xdr:row>
      <xdr:rowOff>238125</xdr:rowOff>
    </xdr:to>
    <xdr:cxnSp macro="">
      <xdr:nvCxnSpPr>
        <xdr:cNvPr id="5" name="Straight Arrow Connector 4">
          <a:extLst>
            <a:ext uri="{FF2B5EF4-FFF2-40B4-BE49-F238E27FC236}">
              <a16:creationId xmlns:a16="http://schemas.microsoft.com/office/drawing/2014/main" id="{00000000-0008-0000-0B00-000005000000}"/>
            </a:ext>
          </a:extLst>
        </xdr:cNvPr>
        <xdr:cNvCxnSpPr/>
      </xdr:nvCxnSpPr>
      <xdr:spPr bwMode="auto">
        <a:xfrm flipV="1">
          <a:off x="1495425" y="5191125"/>
          <a:ext cx="0" cy="1019175"/>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9525</xdr:colOff>
      <xdr:row>27</xdr:row>
      <xdr:rowOff>123825</xdr:rowOff>
    </xdr:from>
    <xdr:to>
      <xdr:col>25</xdr:col>
      <xdr:colOff>276225</xdr:colOff>
      <xdr:row>27</xdr:row>
      <xdr:rowOff>123825</xdr:rowOff>
    </xdr:to>
    <xdr:cxnSp macro="">
      <xdr:nvCxnSpPr>
        <xdr:cNvPr id="6" name="Straight Arrow Connector 5">
          <a:extLst>
            <a:ext uri="{FF2B5EF4-FFF2-40B4-BE49-F238E27FC236}">
              <a16:creationId xmlns:a16="http://schemas.microsoft.com/office/drawing/2014/main" id="{00000000-0008-0000-0B00-000006000000}"/>
            </a:ext>
          </a:extLst>
        </xdr:cNvPr>
        <xdr:cNvCxnSpPr/>
      </xdr:nvCxnSpPr>
      <xdr:spPr bwMode="auto">
        <a:xfrm>
          <a:off x="2343150" y="8610600"/>
          <a:ext cx="626745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66675</xdr:colOff>
      <xdr:row>27</xdr:row>
      <xdr:rowOff>123825</xdr:rowOff>
    </xdr:from>
    <xdr:to>
      <xdr:col>47</xdr:col>
      <xdr:colOff>0</xdr:colOff>
      <xdr:row>27</xdr:row>
      <xdr:rowOff>123825</xdr:rowOff>
    </xdr:to>
    <xdr:cxnSp macro="">
      <xdr:nvCxnSpPr>
        <xdr:cNvPr id="7" name="Straight Arrow Connector 6">
          <a:extLst>
            <a:ext uri="{FF2B5EF4-FFF2-40B4-BE49-F238E27FC236}">
              <a16:creationId xmlns:a16="http://schemas.microsoft.com/office/drawing/2014/main" id="{00000000-0008-0000-0B00-000007000000}"/>
            </a:ext>
          </a:extLst>
        </xdr:cNvPr>
        <xdr:cNvCxnSpPr/>
      </xdr:nvCxnSpPr>
      <xdr:spPr bwMode="auto">
        <a:xfrm flipH="1">
          <a:off x="9401175" y="8610600"/>
          <a:ext cx="626745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30</xdr:row>
      <xdr:rowOff>0</xdr:rowOff>
    </xdr:from>
    <xdr:to>
      <xdr:col>4</xdr:col>
      <xdr:colOff>161925</xdr:colOff>
      <xdr:row>33</xdr:row>
      <xdr:rowOff>76200</xdr:rowOff>
    </xdr:to>
    <xdr:cxnSp macro="">
      <xdr:nvCxnSpPr>
        <xdr:cNvPr id="8" name="Straight Arrow Connector 7">
          <a:extLst>
            <a:ext uri="{FF2B5EF4-FFF2-40B4-BE49-F238E27FC236}">
              <a16:creationId xmlns:a16="http://schemas.microsoft.com/office/drawing/2014/main" id="{00000000-0008-0000-0B00-000008000000}"/>
            </a:ext>
          </a:extLst>
        </xdr:cNvPr>
        <xdr:cNvCxnSpPr/>
      </xdr:nvCxnSpPr>
      <xdr:spPr bwMode="auto">
        <a:xfrm>
          <a:off x="1495425" y="9429750"/>
          <a:ext cx="0" cy="1019175"/>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36</xdr:row>
      <xdr:rowOff>161925</xdr:rowOff>
    </xdr:from>
    <xdr:to>
      <xdr:col>4</xdr:col>
      <xdr:colOff>161925</xdr:colOff>
      <xdr:row>39</xdr:row>
      <xdr:rowOff>238125</xdr:rowOff>
    </xdr:to>
    <xdr:cxnSp macro="">
      <xdr:nvCxnSpPr>
        <xdr:cNvPr id="9" name="Straight Arrow Connector 8">
          <a:extLst>
            <a:ext uri="{FF2B5EF4-FFF2-40B4-BE49-F238E27FC236}">
              <a16:creationId xmlns:a16="http://schemas.microsoft.com/office/drawing/2014/main" id="{00000000-0008-0000-0B00-000009000000}"/>
            </a:ext>
          </a:extLst>
        </xdr:cNvPr>
        <xdr:cNvCxnSpPr/>
      </xdr:nvCxnSpPr>
      <xdr:spPr bwMode="auto">
        <a:xfrm flipV="1">
          <a:off x="1495425" y="11477625"/>
          <a:ext cx="0" cy="1019175"/>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0</xdr:colOff>
      <xdr:row>23</xdr:row>
      <xdr:rowOff>0</xdr:rowOff>
    </xdr:from>
    <xdr:to>
      <xdr:col>7</xdr:col>
      <xdr:colOff>0</xdr:colOff>
      <xdr:row>24</xdr:row>
      <xdr:rowOff>47626</xdr:rowOff>
    </xdr:to>
    <xdr:cxnSp macro="">
      <xdr:nvCxnSpPr>
        <xdr:cNvPr id="10" name="Straight Arrow Connector 9">
          <a:extLst>
            <a:ext uri="{FF2B5EF4-FFF2-40B4-BE49-F238E27FC236}">
              <a16:creationId xmlns:a16="http://schemas.microsoft.com/office/drawing/2014/main" id="{00000000-0008-0000-0B00-00000A000000}"/>
            </a:ext>
          </a:extLst>
        </xdr:cNvPr>
        <xdr:cNvCxnSpPr/>
      </xdr:nvCxnSpPr>
      <xdr:spPr bwMode="auto">
        <a:xfrm flipV="1">
          <a:off x="2333625" y="7229475"/>
          <a:ext cx="0" cy="361951"/>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0</xdr:colOff>
      <xdr:row>10</xdr:row>
      <xdr:rowOff>0</xdr:rowOff>
    </xdr:from>
    <xdr:to>
      <xdr:col>9</xdr:col>
      <xdr:colOff>0</xdr:colOff>
      <xdr:row>20</xdr:row>
      <xdr:rowOff>0</xdr:rowOff>
    </xdr:to>
    <xdr:sp macro="" textlink="">
      <xdr:nvSpPr>
        <xdr:cNvPr id="13" name="Rectangle 12">
          <a:extLst>
            <a:ext uri="{FF2B5EF4-FFF2-40B4-BE49-F238E27FC236}">
              <a16:creationId xmlns:a16="http://schemas.microsoft.com/office/drawing/2014/main" id="{00000000-0008-0000-0B00-00000D000000}"/>
            </a:ext>
          </a:extLst>
        </xdr:cNvPr>
        <xdr:cNvSpPr/>
      </xdr:nvSpPr>
      <xdr:spPr bwMode="auto">
        <a:xfrm>
          <a:off x="2333625" y="3143250"/>
          <a:ext cx="666750" cy="3143250"/>
        </a:xfrm>
        <a:prstGeom prst="rect">
          <a:avLst/>
        </a:prstGeom>
        <a:solidFill>
          <a:schemeClr val="accent1">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23</xdr:row>
      <xdr:rowOff>0</xdr:rowOff>
    </xdr:from>
    <xdr:to>
      <xdr:col>12</xdr:col>
      <xdr:colOff>0</xdr:colOff>
      <xdr:row>23</xdr:row>
      <xdr:rowOff>317499</xdr:rowOff>
    </xdr:to>
    <xdr:sp macro="" textlink="">
      <xdr:nvSpPr>
        <xdr:cNvPr id="14" name="Rectangle 13">
          <a:extLst>
            <a:ext uri="{FF2B5EF4-FFF2-40B4-BE49-F238E27FC236}">
              <a16:creationId xmlns:a16="http://schemas.microsoft.com/office/drawing/2014/main" id="{00000000-0008-0000-0B00-00000E000000}"/>
            </a:ext>
          </a:extLst>
        </xdr:cNvPr>
        <xdr:cNvSpPr/>
      </xdr:nvSpPr>
      <xdr:spPr bwMode="auto">
        <a:xfrm>
          <a:off x="3725333" y="7302500"/>
          <a:ext cx="338667" cy="317499"/>
        </a:xfrm>
        <a:prstGeom prst="rect">
          <a:avLst/>
        </a:prstGeom>
        <a:solidFill>
          <a:schemeClr val="accent1">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9</xdr:col>
      <xdr:colOff>0</xdr:colOff>
      <xdr:row>18</xdr:row>
      <xdr:rowOff>171450</xdr:rowOff>
    </xdr:from>
    <xdr:to>
      <xdr:col>45</xdr:col>
      <xdr:colOff>0</xdr:colOff>
      <xdr:row>20</xdr:row>
      <xdr:rowOff>0</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bwMode="auto">
        <a:xfrm>
          <a:off x="3000375" y="5829300"/>
          <a:ext cx="12001500" cy="457200"/>
        </a:xfrm>
        <a:prstGeom prst="rect">
          <a:avLst/>
        </a:prstGeom>
        <a:solidFill>
          <a:schemeClr val="accent2">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22</xdr:row>
      <xdr:rowOff>0</xdr:rowOff>
    </xdr:from>
    <xdr:to>
      <xdr:col>12</xdr:col>
      <xdr:colOff>0</xdr:colOff>
      <xdr:row>23</xdr:row>
      <xdr:rowOff>12700</xdr:rowOff>
    </xdr:to>
    <xdr:sp macro="" textlink="">
      <xdr:nvSpPr>
        <xdr:cNvPr id="16" name="Rectangle 15">
          <a:extLst>
            <a:ext uri="{FF2B5EF4-FFF2-40B4-BE49-F238E27FC236}">
              <a16:creationId xmlns:a16="http://schemas.microsoft.com/office/drawing/2014/main" id="{00000000-0008-0000-0B00-000010000000}"/>
            </a:ext>
          </a:extLst>
        </xdr:cNvPr>
        <xdr:cNvSpPr/>
      </xdr:nvSpPr>
      <xdr:spPr bwMode="auto">
        <a:xfrm>
          <a:off x="3725333" y="6985000"/>
          <a:ext cx="338667" cy="330200"/>
        </a:xfrm>
        <a:prstGeom prst="rect">
          <a:avLst/>
        </a:prstGeom>
        <a:solidFill>
          <a:schemeClr val="accent2">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24</xdr:row>
      <xdr:rowOff>0</xdr:rowOff>
    </xdr:from>
    <xdr:to>
      <xdr:col>12</xdr:col>
      <xdr:colOff>0</xdr:colOff>
      <xdr:row>25</xdr:row>
      <xdr:rowOff>12700</xdr:rowOff>
    </xdr:to>
    <xdr:sp macro="" textlink="">
      <xdr:nvSpPr>
        <xdr:cNvPr id="17" name="Rectangle 16">
          <a:extLst>
            <a:ext uri="{FF2B5EF4-FFF2-40B4-BE49-F238E27FC236}">
              <a16:creationId xmlns:a16="http://schemas.microsoft.com/office/drawing/2014/main" id="{00000000-0008-0000-0B00-000011000000}"/>
            </a:ext>
          </a:extLst>
        </xdr:cNvPr>
        <xdr:cNvSpPr/>
      </xdr:nvSpPr>
      <xdr:spPr bwMode="auto">
        <a:xfrm>
          <a:off x="3725333" y="7620000"/>
          <a:ext cx="338667" cy="330200"/>
        </a:xfrm>
        <a:prstGeom prst="rect">
          <a:avLst/>
        </a:prstGeom>
        <a:solidFill>
          <a:srgbClr val="FFCC99">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25</xdr:row>
      <xdr:rowOff>0</xdr:rowOff>
    </xdr:from>
    <xdr:to>
      <xdr:col>12</xdr:col>
      <xdr:colOff>0</xdr:colOff>
      <xdr:row>26</xdr:row>
      <xdr:rowOff>12700</xdr:rowOff>
    </xdr:to>
    <xdr:sp macro="" textlink="">
      <xdr:nvSpPr>
        <xdr:cNvPr id="18" name="Rectangle 17">
          <a:extLst>
            <a:ext uri="{FF2B5EF4-FFF2-40B4-BE49-F238E27FC236}">
              <a16:creationId xmlns:a16="http://schemas.microsoft.com/office/drawing/2014/main" id="{00000000-0008-0000-0B00-000012000000}"/>
            </a:ext>
          </a:extLst>
        </xdr:cNvPr>
        <xdr:cNvSpPr/>
      </xdr:nvSpPr>
      <xdr:spPr bwMode="auto">
        <a:xfrm>
          <a:off x="3725333" y="7937500"/>
          <a:ext cx="338667" cy="330200"/>
        </a:xfrm>
        <a:prstGeom prst="rect">
          <a:avLst/>
        </a:prstGeom>
        <a:solidFill>
          <a:srgbClr val="FF660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9</xdr:col>
      <xdr:colOff>1</xdr:colOff>
      <xdr:row>10</xdr:row>
      <xdr:rowOff>0</xdr:rowOff>
    </xdr:from>
    <xdr:to>
      <xdr:col>45</xdr:col>
      <xdr:colOff>1</xdr:colOff>
      <xdr:row>12</xdr:row>
      <xdr:rowOff>0</xdr:rowOff>
    </xdr:to>
    <xdr:sp macro="" textlink="">
      <xdr:nvSpPr>
        <xdr:cNvPr id="19" name="Rectangle 18">
          <a:extLst>
            <a:ext uri="{FF2B5EF4-FFF2-40B4-BE49-F238E27FC236}">
              <a16:creationId xmlns:a16="http://schemas.microsoft.com/office/drawing/2014/main" id="{00000000-0008-0000-0B00-000013000000}"/>
            </a:ext>
          </a:extLst>
        </xdr:cNvPr>
        <xdr:cNvSpPr/>
      </xdr:nvSpPr>
      <xdr:spPr bwMode="auto">
        <a:xfrm>
          <a:off x="3048001" y="3175000"/>
          <a:ext cx="12192000" cy="635000"/>
        </a:xfrm>
        <a:prstGeom prst="rect">
          <a:avLst/>
        </a:prstGeom>
        <a:solidFill>
          <a:srgbClr val="FFCC99">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45</xdr:col>
      <xdr:colOff>0</xdr:colOff>
      <xdr:row>10</xdr:row>
      <xdr:rowOff>0</xdr:rowOff>
    </xdr:from>
    <xdr:to>
      <xdr:col>47</xdr:col>
      <xdr:colOff>0</xdr:colOff>
      <xdr:row>20</xdr:row>
      <xdr:rowOff>0</xdr:rowOff>
    </xdr:to>
    <xdr:sp macro="" textlink="">
      <xdr:nvSpPr>
        <xdr:cNvPr id="20" name="Rectangle 19">
          <a:extLst>
            <a:ext uri="{FF2B5EF4-FFF2-40B4-BE49-F238E27FC236}">
              <a16:creationId xmlns:a16="http://schemas.microsoft.com/office/drawing/2014/main" id="{00000000-0008-0000-0B00-000014000000}"/>
            </a:ext>
          </a:extLst>
        </xdr:cNvPr>
        <xdr:cNvSpPr/>
      </xdr:nvSpPr>
      <xdr:spPr bwMode="auto">
        <a:xfrm>
          <a:off x="15240000" y="3175000"/>
          <a:ext cx="677333" cy="3175000"/>
        </a:xfrm>
        <a:prstGeom prst="rect">
          <a:avLst/>
        </a:prstGeom>
        <a:solidFill>
          <a:srgbClr val="FF660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7</xdr:col>
      <xdr:colOff>0</xdr:colOff>
      <xdr:row>30</xdr:row>
      <xdr:rowOff>0</xdr:rowOff>
    </xdr:from>
    <xdr:to>
      <xdr:col>9</xdr:col>
      <xdr:colOff>0</xdr:colOff>
      <xdr:row>40</xdr:row>
      <xdr:rowOff>0</xdr:rowOff>
    </xdr:to>
    <xdr:sp macro="" textlink="">
      <xdr:nvSpPr>
        <xdr:cNvPr id="22" name="Rectangle 21">
          <a:extLst>
            <a:ext uri="{FF2B5EF4-FFF2-40B4-BE49-F238E27FC236}">
              <a16:creationId xmlns:a16="http://schemas.microsoft.com/office/drawing/2014/main" id="{00000000-0008-0000-0B00-000016000000}"/>
            </a:ext>
          </a:extLst>
        </xdr:cNvPr>
        <xdr:cNvSpPr/>
      </xdr:nvSpPr>
      <xdr:spPr bwMode="auto">
        <a:xfrm>
          <a:off x="2370667" y="9525000"/>
          <a:ext cx="677333" cy="3175000"/>
        </a:xfrm>
        <a:prstGeom prst="rect">
          <a:avLst/>
        </a:prstGeom>
        <a:solidFill>
          <a:schemeClr val="accent1">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9</xdr:col>
      <xdr:colOff>0</xdr:colOff>
      <xdr:row>38</xdr:row>
      <xdr:rowOff>171450</xdr:rowOff>
    </xdr:from>
    <xdr:to>
      <xdr:col>45</xdr:col>
      <xdr:colOff>0</xdr:colOff>
      <xdr:row>40</xdr:row>
      <xdr:rowOff>0</xdr:rowOff>
    </xdr:to>
    <xdr:sp macro="" textlink="">
      <xdr:nvSpPr>
        <xdr:cNvPr id="23" name="Rectangle 22">
          <a:extLst>
            <a:ext uri="{FF2B5EF4-FFF2-40B4-BE49-F238E27FC236}">
              <a16:creationId xmlns:a16="http://schemas.microsoft.com/office/drawing/2014/main" id="{00000000-0008-0000-0B00-000017000000}"/>
            </a:ext>
          </a:extLst>
        </xdr:cNvPr>
        <xdr:cNvSpPr/>
      </xdr:nvSpPr>
      <xdr:spPr bwMode="auto">
        <a:xfrm>
          <a:off x="3048000" y="12236450"/>
          <a:ext cx="12192000" cy="463550"/>
        </a:xfrm>
        <a:prstGeom prst="rect">
          <a:avLst/>
        </a:prstGeom>
        <a:solidFill>
          <a:schemeClr val="accent2">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9</xdr:col>
      <xdr:colOff>1</xdr:colOff>
      <xdr:row>30</xdr:row>
      <xdr:rowOff>0</xdr:rowOff>
    </xdr:from>
    <xdr:to>
      <xdr:col>45</xdr:col>
      <xdr:colOff>1</xdr:colOff>
      <xdr:row>32</xdr:row>
      <xdr:rowOff>0</xdr:rowOff>
    </xdr:to>
    <xdr:sp macro="" textlink="">
      <xdr:nvSpPr>
        <xdr:cNvPr id="24" name="Rectangle 23">
          <a:extLst>
            <a:ext uri="{FF2B5EF4-FFF2-40B4-BE49-F238E27FC236}">
              <a16:creationId xmlns:a16="http://schemas.microsoft.com/office/drawing/2014/main" id="{00000000-0008-0000-0B00-000018000000}"/>
            </a:ext>
          </a:extLst>
        </xdr:cNvPr>
        <xdr:cNvSpPr/>
      </xdr:nvSpPr>
      <xdr:spPr bwMode="auto">
        <a:xfrm>
          <a:off x="3048001" y="9525000"/>
          <a:ext cx="12192000" cy="635000"/>
        </a:xfrm>
        <a:prstGeom prst="rect">
          <a:avLst/>
        </a:prstGeom>
        <a:solidFill>
          <a:srgbClr val="FFCC99">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45</xdr:col>
      <xdr:colOff>0</xdr:colOff>
      <xdr:row>30</xdr:row>
      <xdr:rowOff>0</xdr:rowOff>
    </xdr:from>
    <xdr:to>
      <xdr:col>47</xdr:col>
      <xdr:colOff>0</xdr:colOff>
      <xdr:row>40</xdr:row>
      <xdr:rowOff>0</xdr:rowOff>
    </xdr:to>
    <xdr:sp macro="" textlink="">
      <xdr:nvSpPr>
        <xdr:cNvPr id="25" name="Rectangle 24">
          <a:extLst>
            <a:ext uri="{FF2B5EF4-FFF2-40B4-BE49-F238E27FC236}">
              <a16:creationId xmlns:a16="http://schemas.microsoft.com/office/drawing/2014/main" id="{00000000-0008-0000-0B00-000019000000}"/>
            </a:ext>
          </a:extLst>
        </xdr:cNvPr>
        <xdr:cNvSpPr/>
      </xdr:nvSpPr>
      <xdr:spPr bwMode="auto">
        <a:xfrm>
          <a:off x="15240000" y="9525000"/>
          <a:ext cx="677333" cy="3175000"/>
        </a:xfrm>
        <a:prstGeom prst="rect">
          <a:avLst/>
        </a:prstGeom>
        <a:solidFill>
          <a:srgbClr val="FF660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43</xdr:row>
      <xdr:rowOff>0</xdr:rowOff>
    </xdr:from>
    <xdr:to>
      <xdr:col>12</xdr:col>
      <xdr:colOff>0</xdr:colOff>
      <xdr:row>43</xdr:row>
      <xdr:rowOff>317499</xdr:rowOff>
    </xdr:to>
    <xdr:sp macro="" textlink="">
      <xdr:nvSpPr>
        <xdr:cNvPr id="26" name="Rectangle 25">
          <a:extLst>
            <a:ext uri="{FF2B5EF4-FFF2-40B4-BE49-F238E27FC236}">
              <a16:creationId xmlns:a16="http://schemas.microsoft.com/office/drawing/2014/main" id="{00000000-0008-0000-0B00-00001A000000}"/>
            </a:ext>
          </a:extLst>
        </xdr:cNvPr>
        <xdr:cNvSpPr/>
      </xdr:nvSpPr>
      <xdr:spPr bwMode="auto">
        <a:xfrm>
          <a:off x="3725333" y="7302500"/>
          <a:ext cx="338667" cy="317499"/>
        </a:xfrm>
        <a:prstGeom prst="rect">
          <a:avLst/>
        </a:prstGeom>
        <a:solidFill>
          <a:schemeClr val="accent1">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42</xdr:row>
      <xdr:rowOff>0</xdr:rowOff>
    </xdr:from>
    <xdr:to>
      <xdr:col>12</xdr:col>
      <xdr:colOff>0</xdr:colOff>
      <xdr:row>43</xdr:row>
      <xdr:rowOff>12700</xdr:rowOff>
    </xdr:to>
    <xdr:sp macro="" textlink="">
      <xdr:nvSpPr>
        <xdr:cNvPr id="27" name="Rectangle 26">
          <a:extLst>
            <a:ext uri="{FF2B5EF4-FFF2-40B4-BE49-F238E27FC236}">
              <a16:creationId xmlns:a16="http://schemas.microsoft.com/office/drawing/2014/main" id="{00000000-0008-0000-0B00-00001B000000}"/>
            </a:ext>
          </a:extLst>
        </xdr:cNvPr>
        <xdr:cNvSpPr/>
      </xdr:nvSpPr>
      <xdr:spPr bwMode="auto">
        <a:xfrm>
          <a:off x="3725333" y="6985000"/>
          <a:ext cx="338667" cy="330200"/>
        </a:xfrm>
        <a:prstGeom prst="rect">
          <a:avLst/>
        </a:prstGeom>
        <a:solidFill>
          <a:schemeClr val="accent2">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44</xdr:row>
      <xdr:rowOff>0</xdr:rowOff>
    </xdr:from>
    <xdr:to>
      <xdr:col>12</xdr:col>
      <xdr:colOff>0</xdr:colOff>
      <xdr:row>45</xdr:row>
      <xdr:rowOff>12700</xdr:rowOff>
    </xdr:to>
    <xdr:sp macro="" textlink="">
      <xdr:nvSpPr>
        <xdr:cNvPr id="28" name="Rectangle 27">
          <a:extLst>
            <a:ext uri="{FF2B5EF4-FFF2-40B4-BE49-F238E27FC236}">
              <a16:creationId xmlns:a16="http://schemas.microsoft.com/office/drawing/2014/main" id="{00000000-0008-0000-0B00-00001C000000}"/>
            </a:ext>
          </a:extLst>
        </xdr:cNvPr>
        <xdr:cNvSpPr/>
      </xdr:nvSpPr>
      <xdr:spPr bwMode="auto">
        <a:xfrm>
          <a:off x="3725333" y="7620000"/>
          <a:ext cx="338667" cy="330200"/>
        </a:xfrm>
        <a:prstGeom prst="rect">
          <a:avLst/>
        </a:prstGeom>
        <a:solidFill>
          <a:srgbClr val="FFCC99">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45</xdr:row>
      <xdr:rowOff>0</xdr:rowOff>
    </xdr:from>
    <xdr:to>
      <xdr:col>12</xdr:col>
      <xdr:colOff>0</xdr:colOff>
      <xdr:row>46</xdr:row>
      <xdr:rowOff>12700</xdr:rowOff>
    </xdr:to>
    <xdr:sp macro="" textlink="">
      <xdr:nvSpPr>
        <xdr:cNvPr id="29" name="Rectangle 28">
          <a:extLst>
            <a:ext uri="{FF2B5EF4-FFF2-40B4-BE49-F238E27FC236}">
              <a16:creationId xmlns:a16="http://schemas.microsoft.com/office/drawing/2014/main" id="{00000000-0008-0000-0B00-00001D000000}"/>
            </a:ext>
          </a:extLst>
        </xdr:cNvPr>
        <xdr:cNvSpPr/>
      </xdr:nvSpPr>
      <xdr:spPr bwMode="auto">
        <a:xfrm>
          <a:off x="3725333" y="7937500"/>
          <a:ext cx="338667" cy="330200"/>
        </a:xfrm>
        <a:prstGeom prst="rect">
          <a:avLst/>
        </a:prstGeom>
        <a:solidFill>
          <a:srgbClr val="FF660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21</xdr:row>
      <xdr:rowOff>0</xdr:rowOff>
    </xdr:from>
    <xdr:to>
      <xdr:col>12</xdr:col>
      <xdr:colOff>0</xdr:colOff>
      <xdr:row>22</xdr:row>
      <xdr:rowOff>12700</xdr:rowOff>
    </xdr:to>
    <xdr:grpSp>
      <xdr:nvGrpSpPr>
        <xdr:cNvPr id="33" name="Group 32">
          <a:extLst>
            <a:ext uri="{FF2B5EF4-FFF2-40B4-BE49-F238E27FC236}">
              <a16:creationId xmlns:a16="http://schemas.microsoft.com/office/drawing/2014/main" id="{00000000-0008-0000-0B00-000021000000}"/>
            </a:ext>
          </a:extLst>
        </xdr:cNvPr>
        <xdr:cNvGrpSpPr/>
      </xdr:nvGrpSpPr>
      <xdr:grpSpPr>
        <a:xfrm>
          <a:off x="3520440" y="6640830"/>
          <a:ext cx="320040" cy="328930"/>
          <a:chOff x="6434667" y="6985000"/>
          <a:chExt cx="338667" cy="330200"/>
        </a:xfrm>
      </xdr:grpSpPr>
      <xdr:sp macro="" textlink="">
        <xdr:nvSpPr>
          <xdr:cNvPr id="30" name="Rectangle 29">
            <a:extLst>
              <a:ext uri="{FF2B5EF4-FFF2-40B4-BE49-F238E27FC236}">
                <a16:creationId xmlns:a16="http://schemas.microsoft.com/office/drawing/2014/main" id="{00000000-0008-0000-0B00-00001E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31" name="Rectangle 30">
            <a:extLst>
              <a:ext uri="{FF2B5EF4-FFF2-40B4-BE49-F238E27FC236}">
                <a16:creationId xmlns:a16="http://schemas.microsoft.com/office/drawing/2014/main" id="{00000000-0008-0000-0B00-00001F000000}"/>
              </a:ext>
            </a:extLst>
          </xdr:cNvPr>
          <xdr:cNvSpPr/>
        </xdr:nvSpPr>
        <xdr:spPr bwMode="auto">
          <a:xfrm>
            <a:off x="6512560" y="7058660"/>
            <a:ext cx="182880" cy="182880"/>
          </a:xfrm>
          <a:prstGeom prst="rect">
            <a:avLst/>
          </a:prstGeom>
          <a:solidFill>
            <a:schemeClr val="accent2">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28</xdr:col>
      <xdr:colOff>528</xdr:colOff>
      <xdr:row>18</xdr:row>
      <xdr:rowOff>0</xdr:rowOff>
    </xdr:from>
    <xdr:to>
      <xdr:col>29</xdr:col>
      <xdr:colOff>0</xdr:colOff>
      <xdr:row>19</xdr:row>
      <xdr:rowOff>9525</xdr:rowOff>
    </xdr:to>
    <xdr:grpSp>
      <xdr:nvGrpSpPr>
        <xdr:cNvPr id="34" name="Group 33">
          <a:extLst>
            <a:ext uri="{FF2B5EF4-FFF2-40B4-BE49-F238E27FC236}">
              <a16:creationId xmlns:a16="http://schemas.microsoft.com/office/drawing/2014/main" id="{00000000-0008-0000-0B00-000022000000}"/>
            </a:ext>
          </a:extLst>
        </xdr:cNvPr>
        <xdr:cNvGrpSpPr/>
      </xdr:nvGrpSpPr>
      <xdr:grpSpPr>
        <a:xfrm>
          <a:off x="8961648" y="5692140"/>
          <a:ext cx="319512" cy="325755"/>
          <a:chOff x="6434667" y="6985000"/>
          <a:chExt cx="338667" cy="330200"/>
        </a:xfrm>
      </xdr:grpSpPr>
      <xdr:sp macro="" textlink="">
        <xdr:nvSpPr>
          <xdr:cNvPr id="35" name="Rectangle 34">
            <a:extLst>
              <a:ext uri="{FF2B5EF4-FFF2-40B4-BE49-F238E27FC236}">
                <a16:creationId xmlns:a16="http://schemas.microsoft.com/office/drawing/2014/main" id="{00000000-0008-0000-0B00-000023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36" name="Rectangle 35">
            <a:extLst>
              <a:ext uri="{FF2B5EF4-FFF2-40B4-BE49-F238E27FC236}">
                <a16:creationId xmlns:a16="http://schemas.microsoft.com/office/drawing/2014/main" id="{00000000-0008-0000-0B00-000024000000}"/>
              </a:ext>
            </a:extLst>
          </xdr:cNvPr>
          <xdr:cNvSpPr/>
        </xdr:nvSpPr>
        <xdr:spPr bwMode="auto">
          <a:xfrm>
            <a:off x="6512560" y="7058660"/>
            <a:ext cx="182880" cy="182880"/>
          </a:xfrm>
          <a:prstGeom prst="rect">
            <a:avLst/>
          </a:prstGeom>
          <a:solidFill>
            <a:schemeClr val="accent2">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7</xdr:col>
      <xdr:colOff>323849</xdr:colOff>
      <xdr:row>15</xdr:row>
      <xdr:rowOff>0</xdr:rowOff>
    </xdr:from>
    <xdr:to>
      <xdr:col>9</xdr:col>
      <xdr:colOff>0</xdr:colOff>
      <xdr:row>16</xdr:row>
      <xdr:rowOff>12700</xdr:rowOff>
    </xdr:to>
    <xdr:grpSp>
      <xdr:nvGrpSpPr>
        <xdr:cNvPr id="37" name="Group 36">
          <a:extLst>
            <a:ext uri="{FF2B5EF4-FFF2-40B4-BE49-F238E27FC236}">
              <a16:creationId xmlns:a16="http://schemas.microsoft.com/office/drawing/2014/main" id="{00000000-0008-0000-0B00-000025000000}"/>
            </a:ext>
          </a:extLst>
        </xdr:cNvPr>
        <xdr:cNvGrpSpPr/>
      </xdr:nvGrpSpPr>
      <xdr:grpSpPr>
        <a:xfrm>
          <a:off x="2560319" y="4743450"/>
          <a:ext cx="320041" cy="328930"/>
          <a:chOff x="6434667" y="6985000"/>
          <a:chExt cx="338667" cy="330200"/>
        </a:xfrm>
      </xdr:grpSpPr>
      <xdr:sp macro="" textlink="">
        <xdr:nvSpPr>
          <xdr:cNvPr id="38" name="Rectangle 37">
            <a:extLst>
              <a:ext uri="{FF2B5EF4-FFF2-40B4-BE49-F238E27FC236}">
                <a16:creationId xmlns:a16="http://schemas.microsoft.com/office/drawing/2014/main" id="{00000000-0008-0000-0B00-000026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39" name="Rectangle 38">
            <a:extLst>
              <a:ext uri="{FF2B5EF4-FFF2-40B4-BE49-F238E27FC236}">
                <a16:creationId xmlns:a16="http://schemas.microsoft.com/office/drawing/2014/main" id="{00000000-0008-0000-0B00-000027000000}"/>
              </a:ext>
            </a:extLst>
          </xdr:cNvPr>
          <xdr:cNvSpPr/>
        </xdr:nvSpPr>
        <xdr:spPr bwMode="auto">
          <a:xfrm>
            <a:off x="6512560" y="7058660"/>
            <a:ext cx="182880" cy="182880"/>
          </a:xfrm>
          <a:prstGeom prst="rect">
            <a:avLst/>
          </a:prstGeom>
          <a:solidFill>
            <a:schemeClr val="accent1">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40</xdr:col>
      <xdr:colOff>329141</xdr:colOff>
      <xdr:row>10</xdr:row>
      <xdr:rowOff>301625</xdr:rowOff>
    </xdr:from>
    <xdr:to>
      <xdr:col>42</xdr:col>
      <xdr:colOff>0</xdr:colOff>
      <xdr:row>12</xdr:row>
      <xdr:rowOff>0</xdr:rowOff>
    </xdr:to>
    <xdr:grpSp>
      <xdr:nvGrpSpPr>
        <xdr:cNvPr id="40" name="Group 39">
          <a:extLst>
            <a:ext uri="{FF2B5EF4-FFF2-40B4-BE49-F238E27FC236}">
              <a16:creationId xmlns:a16="http://schemas.microsoft.com/office/drawing/2014/main" id="{00000000-0008-0000-0B00-000028000000}"/>
            </a:ext>
          </a:extLst>
        </xdr:cNvPr>
        <xdr:cNvGrpSpPr/>
      </xdr:nvGrpSpPr>
      <xdr:grpSpPr>
        <a:xfrm>
          <a:off x="13123121" y="3463925"/>
          <a:ext cx="318559" cy="330835"/>
          <a:chOff x="6434667" y="6985000"/>
          <a:chExt cx="338667" cy="330200"/>
        </a:xfrm>
      </xdr:grpSpPr>
      <xdr:sp macro="" textlink="">
        <xdr:nvSpPr>
          <xdr:cNvPr id="41" name="Rectangle 40">
            <a:extLst>
              <a:ext uri="{FF2B5EF4-FFF2-40B4-BE49-F238E27FC236}">
                <a16:creationId xmlns:a16="http://schemas.microsoft.com/office/drawing/2014/main" id="{00000000-0008-0000-0B00-000029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42" name="Rectangle 41">
            <a:extLst>
              <a:ext uri="{FF2B5EF4-FFF2-40B4-BE49-F238E27FC236}">
                <a16:creationId xmlns:a16="http://schemas.microsoft.com/office/drawing/2014/main" id="{00000000-0008-0000-0B00-00002A000000}"/>
              </a:ext>
            </a:extLst>
          </xdr:cNvPr>
          <xdr:cNvSpPr/>
        </xdr:nvSpPr>
        <xdr:spPr bwMode="auto">
          <a:xfrm>
            <a:off x="6512560" y="7058660"/>
            <a:ext cx="182880" cy="182880"/>
          </a:xfrm>
          <a:prstGeom prst="rect">
            <a:avLst/>
          </a:prstGeom>
          <a:solidFill>
            <a:srgbClr val="FFCC99">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45</xdr:col>
      <xdr:colOff>23812</xdr:colOff>
      <xdr:row>14</xdr:row>
      <xdr:rowOff>0</xdr:rowOff>
    </xdr:from>
    <xdr:to>
      <xdr:col>46</xdr:col>
      <xdr:colOff>28046</xdr:colOff>
      <xdr:row>15</xdr:row>
      <xdr:rowOff>9525</xdr:rowOff>
    </xdr:to>
    <xdr:grpSp>
      <xdr:nvGrpSpPr>
        <xdr:cNvPr id="43" name="Group 42">
          <a:extLst>
            <a:ext uri="{FF2B5EF4-FFF2-40B4-BE49-F238E27FC236}">
              <a16:creationId xmlns:a16="http://schemas.microsoft.com/office/drawing/2014/main" id="{00000000-0008-0000-0B00-00002B000000}"/>
            </a:ext>
          </a:extLst>
        </xdr:cNvPr>
        <xdr:cNvGrpSpPr/>
      </xdr:nvGrpSpPr>
      <xdr:grpSpPr>
        <a:xfrm>
          <a:off x="14425612" y="4427220"/>
          <a:ext cx="324274" cy="325755"/>
          <a:chOff x="6434667" y="6985000"/>
          <a:chExt cx="338667" cy="330200"/>
        </a:xfrm>
      </xdr:grpSpPr>
      <xdr:sp macro="" textlink="">
        <xdr:nvSpPr>
          <xdr:cNvPr id="44" name="Rectangle 43">
            <a:extLst>
              <a:ext uri="{FF2B5EF4-FFF2-40B4-BE49-F238E27FC236}">
                <a16:creationId xmlns:a16="http://schemas.microsoft.com/office/drawing/2014/main" id="{00000000-0008-0000-0B00-00002C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45" name="Rectangle 44">
            <a:extLst>
              <a:ext uri="{FF2B5EF4-FFF2-40B4-BE49-F238E27FC236}">
                <a16:creationId xmlns:a16="http://schemas.microsoft.com/office/drawing/2014/main" id="{00000000-0008-0000-0B00-00002D000000}"/>
              </a:ext>
            </a:extLst>
          </xdr:cNvPr>
          <xdr:cNvSpPr/>
        </xdr:nvSpPr>
        <xdr:spPr bwMode="auto">
          <a:xfrm>
            <a:off x="6512560" y="7058660"/>
            <a:ext cx="182880" cy="182880"/>
          </a:xfrm>
          <a:prstGeom prst="rect">
            <a:avLst/>
          </a:prstGeom>
          <a:solidFill>
            <a:srgbClr val="FF6600">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15</xdr:col>
      <xdr:colOff>20955</xdr:colOff>
      <xdr:row>38</xdr:row>
      <xdr:rowOff>165100</xdr:rowOff>
    </xdr:from>
    <xdr:to>
      <xdr:col>16</xdr:col>
      <xdr:colOff>21168</xdr:colOff>
      <xdr:row>39</xdr:row>
      <xdr:rowOff>177800</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821555" y="12181840"/>
          <a:ext cx="320253" cy="328930"/>
          <a:chOff x="6434667" y="6985000"/>
          <a:chExt cx="338667" cy="330200"/>
        </a:xfrm>
      </xdr:grpSpPr>
      <xdr:sp macro="" textlink="">
        <xdr:nvSpPr>
          <xdr:cNvPr id="47" name="Rectangle 46">
            <a:extLst>
              <a:ext uri="{FF2B5EF4-FFF2-40B4-BE49-F238E27FC236}">
                <a16:creationId xmlns:a16="http://schemas.microsoft.com/office/drawing/2014/main" id="{00000000-0008-0000-0B00-00002F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48" name="Rectangle 47">
            <a:extLst>
              <a:ext uri="{FF2B5EF4-FFF2-40B4-BE49-F238E27FC236}">
                <a16:creationId xmlns:a16="http://schemas.microsoft.com/office/drawing/2014/main" id="{00000000-0008-0000-0B00-000030000000}"/>
              </a:ext>
            </a:extLst>
          </xdr:cNvPr>
          <xdr:cNvSpPr/>
        </xdr:nvSpPr>
        <xdr:spPr bwMode="auto">
          <a:xfrm>
            <a:off x="6512560" y="7058660"/>
            <a:ext cx="182880" cy="182880"/>
          </a:xfrm>
          <a:prstGeom prst="rect">
            <a:avLst/>
          </a:prstGeom>
          <a:solidFill>
            <a:schemeClr val="accent2">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7</xdr:col>
      <xdr:colOff>323849</xdr:colOff>
      <xdr:row>35</xdr:row>
      <xdr:rowOff>0</xdr:rowOff>
    </xdr:from>
    <xdr:to>
      <xdr:col>9</xdr:col>
      <xdr:colOff>0</xdr:colOff>
      <xdr:row>36</xdr:row>
      <xdr:rowOff>9525</xdr:rowOff>
    </xdr:to>
    <xdr:grpSp>
      <xdr:nvGrpSpPr>
        <xdr:cNvPr id="49" name="Group 48">
          <a:extLst>
            <a:ext uri="{FF2B5EF4-FFF2-40B4-BE49-F238E27FC236}">
              <a16:creationId xmlns:a16="http://schemas.microsoft.com/office/drawing/2014/main" id="{00000000-0008-0000-0B00-000031000000}"/>
            </a:ext>
          </a:extLst>
        </xdr:cNvPr>
        <xdr:cNvGrpSpPr/>
      </xdr:nvGrpSpPr>
      <xdr:grpSpPr>
        <a:xfrm>
          <a:off x="2560319" y="11068050"/>
          <a:ext cx="320041" cy="325755"/>
          <a:chOff x="6434667" y="6985000"/>
          <a:chExt cx="338667" cy="330200"/>
        </a:xfrm>
      </xdr:grpSpPr>
      <xdr:sp macro="" textlink="">
        <xdr:nvSpPr>
          <xdr:cNvPr id="50" name="Rectangle 49">
            <a:extLst>
              <a:ext uri="{FF2B5EF4-FFF2-40B4-BE49-F238E27FC236}">
                <a16:creationId xmlns:a16="http://schemas.microsoft.com/office/drawing/2014/main" id="{00000000-0008-0000-0B00-000032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51" name="Rectangle 50">
            <a:extLst>
              <a:ext uri="{FF2B5EF4-FFF2-40B4-BE49-F238E27FC236}">
                <a16:creationId xmlns:a16="http://schemas.microsoft.com/office/drawing/2014/main" id="{00000000-0008-0000-0B00-000033000000}"/>
              </a:ext>
            </a:extLst>
          </xdr:cNvPr>
          <xdr:cNvSpPr/>
        </xdr:nvSpPr>
        <xdr:spPr bwMode="auto">
          <a:xfrm>
            <a:off x="6512560" y="7058660"/>
            <a:ext cx="182880" cy="182880"/>
          </a:xfrm>
          <a:prstGeom prst="rect">
            <a:avLst/>
          </a:prstGeom>
          <a:solidFill>
            <a:schemeClr val="accent1">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42</xdr:col>
      <xdr:colOff>329141</xdr:colOff>
      <xdr:row>30</xdr:row>
      <xdr:rowOff>304800</xdr:rowOff>
    </xdr:from>
    <xdr:to>
      <xdr:col>44</xdr:col>
      <xdr:colOff>0</xdr:colOff>
      <xdr:row>32</xdr:row>
      <xdr:rowOff>0</xdr:rowOff>
    </xdr:to>
    <xdr:grpSp>
      <xdr:nvGrpSpPr>
        <xdr:cNvPr id="52" name="Group 51">
          <a:extLst>
            <a:ext uri="{FF2B5EF4-FFF2-40B4-BE49-F238E27FC236}">
              <a16:creationId xmlns:a16="http://schemas.microsoft.com/office/drawing/2014/main" id="{00000000-0008-0000-0B00-000034000000}"/>
            </a:ext>
          </a:extLst>
        </xdr:cNvPr>
        <xdr:cNvGrpSpPr/>
      </xdr:nvGrpSpPr>
      <xdr:grpSpPr>
        <a:xfrm>
          <a:off x="13763201" y="9791700"/>
          <a:ext cx="318559" cy="327660"/>
          <a:chOff x="6434667" y="6985000"/>
          <a:chExt cx="338667" cy="330200"/>
        </a:xfrm>
      </xdr:grpSpPr>
      <xdr:sp macro="" textlink="">
        <xdr:nvSpPr>
          <xdr:cNvPr id="53" name="Rectangle 52">
            <a:extLst>
              <a:ext uri="{FF2B5EF4-FFF2-40B4-BE49-F238E27FC236}">
                <a16:creationId xmlns:a16="http://schemas.microsoft.com/office/drawing/2014/main" id="{00000000-0008-0000-0B00-000035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54" name="Rectangle 53">
            <a:extLst>
              <a:ext uri="{FF2B5EF4-FFF2-40B4-BE49-F238E27FC236}">
                <a16:creationId xmlns:a16="http://schemas.microsoft.com/office/drawing/2014/main" id="{00000000-0008-0000-0B00-000036000000}"/>
              </a:ext>
            </a:extLst>
          </xdr:cNvPr>
          <xdr:cNvSpPr/>
        </xdr:nvSpPr>
        <xdr:spPr bwMode="auto">
          <a:xfrm>
            <a:off x="6512560" y="7058660"/>
            <a:ext cx="182880" cy="182880"/>
          </a:xfrm>
          <a:prstGeom prst="rect">
            <a:avLst/>
          </a:prstGeom>
          <a:solidFill>
            <a:srgbClr val="FFCC99">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45</xdr:col>
      <xdr:colOff>0</xdr:colOff>
      <xdr:row>34</xdr:row>
      <xdr:rowOff>0</xdr:rowOff>
    </xdr:from>
    <xdr:to>
      <xdr:col>46</xdr:col>
      <xdr:colOff>4234</xdr:colOff>
      <xdr:row>35</xdr:row>
      <xdr:rowOff>12700</xdr:rowOff>
    </xdr:to>
    <xdr:grpSp>
      <xdr:nvGrpSpPr>
        <xdr:cNvPr id="55" name="Group 54">
          <a:extLst>
            <a:ext uri="{FF2B5EF4-FFF2-40B4-BE49-F238E27FC236}">
              <a16:creationId xmlns:a16="http://schemas.microsoft.com/office/drawing/2014/main" id="{00000000-0008-0000-0B00-000037000000}"/>
            </a:ext>
          </a:extLst>
        </xdr:cNvPr>
        <xdr:cNvGrpSpPr/>
      </xdr:nvGrpSpPr>
      <xdr:grpSpPr>
        <a:xfrm>
          <a:off x="14401800" y="10751820"/>
          <a:ext cx="324274" cy="328930"/>
          <a:chOff x="6434667" y="6985000"/>
          <a:chExt cx="338667" cy="330200"/>
        </a:xfrm>
      </xdr:grpSpPr>
      <xdr:sp macro="" textlink="">
        <xdr:nvSpPr>
          <xdr:cNvPr id="56" name="Rectangle 55">
            <a:extLst>
              <a:ext uri="{FF2B5EF4-FFF2-40B4-BE49-F238E27FC236}">
                <a16:creationId xmlns:a16="http://schemas.microsoft.com/office/drawing/2014/main" id="{00000000-0008-0000-0B00-000038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57" name="Rectangle 56">
            <a:extLst>
              <a:ext uri="{FF2B5EF4-FFF2-40B4-BE49-F238E27FC236}">
                <a16:creationId xmlns:a16="http://schemas.microsoft.com/office/drawing/2014/main" id="{00000000-0008-0000-0B00-000039000000}"/>
              </a:ext>
            </a:extLst>
          </xdr:cNvPr>
          <xdr:cNvSpPr/>
        </xdr:nvSpPr>
        <xdr:spPr bwMode="auto">
          <a:xfrm>
            <a:off x="6512560" y="7058660"/>
            <a:ext cx="182880" cy="182880"/>
          </a:xfrm>
          <a:prstGeom prst="rect">
            <a:avLst/>
          </a:prstGeom>
          <a:solidFill>
            <a:srgbClr val="FF6600">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11</xdr:col>
      <xdr:colOff>0</xdr:colOff>
      <xdr:row>41</xdr:row>
      <xdr:rowOff>0</xdr:rowOff>
    </xdr:from>
    <xdr:to>
      <xdr:col>12</xdr:col>
      <xdr:colOff>0</xdr:colOff>
      <xdr:row>42</xdr:row>
      <xdr:rowOff>12700</xdr:rowOff>
    </xdr:to>
    <xdr:grpSp>
      <xdr:nvGrpSpPr>
        <xdr:cNvPr id="58" name="Group 57">
          <a:extLst>
            <a:ext uri="{FF2B5EF4-FFF2-40B4-BE49-F238E27FC236}">
              <a16:creationId xmlns:a16="http://schemas.microsoft.com/office/drawing/2014/main" id="{00000000-0008-0000-0B00-00003A000000}"/>
            </a:ext>
          </a:extLst>
        </xdr:cNvPr>
        <xdr:cNvGrpSpPr/>
      </xdr:nvGrpSpPr>
      <xdr:grpSpPr>
        <a:xfrm>
          <a:off x="3520440" y="12965430"/>
          <a:ext cx="320040" cy="328930"/>
          <a:chOff x="6434667" y="6985000"/>
          <a:chExt cx="338667" cy="330200"/>
        </a:xfrm>
      </xdr:grpSpPr>
      <xdr:sp macro="" textlink="">
        <xdr:nvSpPr>
          <xdr:cNvPr id="59" name="Rectangle 58">
            <a:extLst>
              <a:ext uri="{FF2B5EF4-FFF2-40B4-BE49-F238E27FC236}">
                <a16:creationId xmlns:a16="http://schemas.microsoft.com/office/drawing/2014/main" id="{00000000-0008-0000-0B00-00003B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60" name="Rectangle 59">
            <a:extLst>
              <a:ext uri="{FF2B5EF4-FFF2-40B4-BE49-F238E27FC236}">
                <a16:creationId xmlns:a16="http://schemas.microsoft.com/office/drawing/2014/main" id="{00000000-0008-0000-0B00-00003C000000}"/>
              </a:ext>
            </a:extLst>
          </xdr:cNvPr>
          <xdr:cNvSpPr/>
        </xdr:nvSpPr>
        <xdr:spPr bwMode="auto">
          <a:xfrm>
            <a:off x="6512560" y="7058660"/>
            <a:ext cx="182880" cy="182880"/>
          </a:xfrm>
          <a:prstGeom prst="rect">
            <a:avLst/>
          </a:prstGeom>
          <a:solidFill>
            <a:schemeClr val="accent2">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9525</xdr:colOff>
      <xdr:row>7</xdr:row>
      <xdr:rowOff>123825</xdr:rowOff>
    </xdr:from>
    <xdr:to>
      <xdr:col>25</xdr:col>
      <xdr:colOff>276225</xdr:colOff>
      <xdr:row>7</xdr:row>
      <xdr:rowOff>123825</xdr:rowOff>
    </xdr:to>
    <xdr:cxnSp macro="">
      <xdr:nvCxnSpPr>
        <xdr:cNvPr id="2" name="Straight Arrow Connector 1">
          <a:extLst>
            <a:ext uri="{FF2B5EF4-FFF2-40B4-BE49-F238E27FC236}">
              <a16:creationId xmlns:a16="http://schemas.microsoft.com/office/drawing/2014/main" id="{00000000-0008-0000-0C00-000002000000}"/>
            </a:ext>
          </a:extLst>
        </xdr:cNvPr>
        <xdr:cNvCxnSpPr/>
      </xdr:nvCxnSpPr>
      <xdr:spPr bwMode="auto">
        <a:xfrm>
          <a:off x="2249805" y="2337435"/>
          <a:ext cx="602742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66675</xdr:colOff>
      <xdr:row>7</xdr:row>
      <xdr:rowOff>123825</xdr:rowOff>
    </xdr:from>
    <xdr:to>
      <xdr:col>47</xdr:col>
      <xdr:colOff>0</xdr:colOff>
      <xdr:row>7</xdr:row>
      <xdr:rowOff>123825</xdr:rowOff>
    </xdr:to>
    <xdr:cxnSp macro="">
      <xdr:nvCxnSpPr>
        <xdr:cNvPr id="3" name="Straight Arrow Connector 2">
          <a:extLst>
            <a:ext uri="{FF2B5EF4-FFF2-40B4-BE49-F238E27FC236}">
              <a16:creationId xmlns:a16="http://schemas.microsoft.com/office/drawing/2014/main" id="{00000000-0008-0000-0C00-000003000000}"/>
            </a:ext>
          </a:extLst>
        </xdr:cNvPr>
        <xdr:cNvCxnSpPr/>
      </xdr:nvCxnSpPr>
      <xdr:spPr bwMode="auto">
        <a:xfrm flipH="1">
          <a:off x="9027795" y="2337435"/>
          <a:ext cx="6014085"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10</xdr:row>
      <xdr:rowOff>0</xdr:rowOff>
    </xdr:from>
    <xdr:to>
      <xdr:col>4</xdr:col>
      <xdr:colOff>161925</xdr:colOff>
      <xdr:row>13</xdr:row>
      <xdr:rowOff>76200</xdr:rowOff>
    </xdr:to>
    <xdr:cxnSp macro="">
      <xdr:nvCxnSpPr>
        <xdr:cNvPr id="4" name="Straight Arrow Connector 3">
          <a:extLst>
            <a:ext uri="{FF2B5EF4-FFF2-40B4-BE49-F238E27FC236}">
              <a16:creationId xmlns:a16="http://schemas.microsoft.com/office/drawing/2014/main" id="{00000000-0008-0000-0C00-000004000000}"/>
            </a:ext>
          </a:extLst>
        </xdr:cNvPr>
        <xdr:cNvCxnSpPr/>
      </xdr:nvCxnSpPr>
      <xdr:spPr bwMode="auto">
        <a:xfrm>
          <a:off x="1442085" y="3162300"/>
          <a:ext cx="0" cy="102489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16</xdr:row>
      <xdr:rowOff>161925</xdr:rowOff>
    </xdr:from>
    <xdr:to>
      <xdr:col>4</xdr:col>
      <xdr:colOff>161925</xdr:colOff>
      <xdr:row>19</xdr:row>
      <xdr:rowOff>238125</xdr:rowOff>
    </xdr:to>
    <xdr:cxnSp macro="">
      <xdr:nvCxnSpPr>
        <xdr:cNvPr id="5" name="Straight Arrow Connector 4">
          <a:extLst>
            <a:ext uri="{FF2B5EF4-FFF2-40B4-BE49-F238E27FC236}">
              <a16:creationId xmlns:a16="http://schemas.microsoft.com/office/drawing/2014/main" id="{00000000-0008-0000-0C00-000005000000}"/>
            </a:ext>
          </a:extLst>
        </xdr:cNvPr>
        <xdr:cNvCxnSpPr/>
      </xdr:nvCxnSpPr>
      <xdr:spPr bwMode="auto">
        <a:xfrm flipV="1">
          <a:off x="1442085" y="5221605"/>
          <a:ext cx="0" cy="102489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9525</xdr:colOff>
      <xdr:row>27</xdr:row>
      <xdr:rowOff>123825</xdr:rowOff>
    </xdr:from>
    <xdr:to>
      <xdr:col>25</xdr:col>
      <xdr:colOff>276225</xdr:colOff>
      <xdr:row>27</xdr:row>
      <xdr:rowOff>123825</xdr:rowOff>
    </xdr:to>
    <xdr:cxnSp macro="">
      <xdr:nvCxnSpPr>
        <xdr:cNvPr id="6" name="Straight Arrow Connector 5">
          <a:extLst>
            <a:ext uri="{FF2B5EF4-FFF2-40B4-BE49-F238E27FC236}">
              <a16:creationId xmlns:a16="http://schemas.microsoft.com/office/drawing/2014/main" id="{00000000-0008-0000-0C00-000006000000}"/>
            </a:ext>
          </a:extLst>
        </xdr:cNvPr>
        <xdr:cNvCxnSpPr/>
      </xdr:nvCxnSpPr>
      <xdr:spPr bwMode="auto">
        <a:xfrm>
          <a:off x="2249805" y="8662035"/>
          <a:ext cx="602742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66675</xdr:colOff>
      <xdr:row>27</xdr:row>
      <xdr:rowOff>123825</xdr:rowOff>
    </xdr:from>
    <xdr:to>
      <xdr:col>47</xdr:col>
      <xdr:colOff>0</xdr:colOff>
      <xdr:row>27</xdr:row>
      <xdr:rowOff>123825</xdr:rowOff>
    </xdr:to>
    <xdr:cxnSp macro="">
      <xdr:nvCxnSpPr>
        <xdr:cNvPr id="7" name="Straight Arrow Connector 6">
          <a:extLst>
            <a:ext uri="{FF2B5EF4-FFF2-40B4-BE49-F238E27FC236}">
              <a16:creationId xmlns:a16="http://schemas.microsoft.com/office/drawing/2014/main" id="{00000000-0008-0000-0C00-000007000000}"/>
            </a:ext>
          </a:extLst>
        </xdr:cNvPr>
        <xdr:cNvCxnSpPr/>
      </xdr:nvCxnSpPr>
      <xdr:spPr bwMode="auto">
        <a:xfrm flipH="1">
          <a:off x="9027795" y="8662035"/>
          <a:ext cx="6014085"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30</xdr:row>
      <xdr:rowOff>0</xdr:rowOff>
    </xdr:from>
    <xdr:to>
      <xdr:col>4</xdr:col>
      <xdr:colOff>161925</xdr:colOff>
      <xdr:row>33</xdr:row>
      <xdr:rowOff>76200</xdr:rowOff>
    </xdr:to>
    <xdr:cxnSp macro="">
      <xdr:nvCxnSpPr>
        <xdr:cNvPr id="8" name="Straight Arrow Connector 7">
          <a:extLst>
            <a:ext uri="{FF2B5EF4-FFF2-40B4-BE49-F238E27FC236}">
              <a16:creationId xmlns:a16="http://schemas.microsoft.com/office/drawing/2014/main" id="{00000000-0008-0000-0C00-000008000000}"/>
            </a:ext>
          </a:extLst>
        </xdr:cNvPr>
        <xdr:cNvCxnSpPr/>
      </xdr:nvCxnSpPr>
      <xdr:spPr bwMode="auto">
        <a:xfrm>
          <a:off x="1442085" y="9486900"/>
          <a:ext cx="0" cy="102489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36</xdr:row>
      <xdr:rowOff>161925</xdr:rowOff>
    </xdr:from>
    <xdr:to>
      <xdr:col>4</xdr:col>
      <xdr:colOff>161925</xdr:colOff>
      <xdr:row>39</xdr:row>
      <xdr:rowOff>238125</xdr:rowOff>
    </xdr:to>
    <xdr:cxnSp macro="">
      <xdr:nvCxnSpPr>
        <xdr:cNvPr id="9" name="Straight Arrow Connector 8">
          <a:extLst>
            <a:ext uri="{FF2B5EF4-FFF2-40B4-BE49-F238E27FC236}">
              <a16:creationId xmlns:a16="http://schemas.microsoft.com/office/drawing/2014/main" id="{00000000-0008-0000-0C00-000009000000}"/>
            </a:ext>
          </a:extLst>
        </xdr:cNvPr>
        <xdr:cNvCxnSpPr/>
      </xdr:nvCxnSpPr>
      <xdr:spPr bwMode="auto">
        <a:xfrm flipV="1">
          <a:off x="1442085" y="11546205"/>
          <a:ext cx="0" cy="102489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0</xdr:colOff>
      <xdr:row>23</xdr:row>
      <xdr:rowOff>0</xdr:rowOff>
    </xdr:from>
    <xdr:to>
      <xdr:col>7</xdr:col>
      <xdr:colOff>0</xdr:colOff>
      <xdr:row>24</xdr:row>
      <xdr:rowOff>47626</xdr:rowOff>
    </xdr:to>
    <xdr:cxnSp macro="">
      <xdr:nvCxnSpPr>
        <xdr:cNvPr id="10" name="Straight Arrow Connector 9">
          <a:extLst>
            <a:ext uri="{FF2B5EF4-FFF2-40B4-BE49-F238E27FC236}">
              <a16:creationId xmlns:a16="http://schemas.microsoft.com/office/drawing/2014/main" id="{00000000-0008-0000-0C00-00000A000000}"/>
            </a:ext>
          </a:extLst>
        </xdr:cNvPr>
        <xdr:cNvCxnSpPr/>
      </xdr:nvCxnSpPr>
      <xdr:spPr bwMode="auto">
        <a:xfrm flipV="1">
          <a:off x="2240280" y="7273290"/>
          <a:ext cx="0" cy="363856"/>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0</xdr:colOff>
      <xdr:row>10</xdr:row>
      <xdr:rowOff>0</xdr:rowOff>
    </xdr:from>
    <xdr:to>
      <xdr:col>9</xdr:col>
      <xdr:colOff>0</xdr:colOff>
      <xdr:row>20</xdr:row>
      <xdr:rowOff>0</xdr:rowOff>
    </xdr:to>
    <xdr:sp macro="" textlink="">
      <xdr:nvSpPr>
        <xdr:cNvPr id="11" name="Rectangle 10">
          <a:extLst>
            <a:ext uri="{FF2B5EF4-FFF2-40B4-BE49-F238E27FC236}">
              <a16:creationId xmlns:a16="http://schemas.microsoft.com/office/drawing/2014/main" id="{00000000-0008-0000-0C00-00000B000000}"/>
            </a:ext>
          </a:extLst>
        </xdr:cNvPr>
        <xdr:cNvSpPr/>
      </xdr:nvSpPr>
      <xdr:spPr bwMode="auto">
        <a:xfrm>
          <a:off x="2240280" y="3162300"/>
          <a:ext cx="640080" cy="3162300"/>
        </a:xfrm>
        <a:prstGeom prst="rect">
          <a:avLst/>
        </a:prstGeom>
        <a:solidFill>
          <a:schemeClr val="accent1">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23</xdr:row>
      <xdr:rowOff>0</xdr:rowOff>
    </xdr:from>
    <xdr:to>
      <xdr:col>12</xdr:col>
      <xdr:colOff>0</xdr:colOff>
      <xdr:row>23</xdr:row>
      <xdr:rowOff>317499</xdr:rowOff>
    </xdr:to>
    <xdr:sp macro="" textlink="">
      <xdr:nvSpPr>
        <xdr:cNvPr id="12" name="Rectangle 11">
          <a:extLst>
            <a:ext uri="{FF2B5EF4-FFF2-40B4-BE49-F238E27FC236}">
              <a16:creationId xmlns:a16="http://schemas.microsoft.com/office/drawing/2014/main" id="{00000000-0008-0000-0C00-00000C000000}"/>
            </a:ext>
          </a:extLst>
        </xdr:cNvPr>
        <xdr:cNvSpPr/>
      </xdr:nvSpPr>
      <xdr:spPr bwMode="auto">
        <a:xfrm>
          <a:off x="3520440" y="7273290"/>
          <a:ext cx="320040" cy="317499"/>
        </a:xfrm>
        <a:prstGeom prst="rect">
          <a:avLst/>
        </a:prstGeom>
        <a:solidFill>
          <a:schemeClr val="accent1">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9</xdr:col>
      <xdr:colOff>0</xdr:colOff>
      <xdr:row>18</xdr:row>
      <xdr:rowOff>171450</xdr:rowOff>
    </xdr:from>
    <xdr:to>
      <xdr:col>45</xdr:col>
      <xdr:colOff>0</xdr:colOff>
      <xdr:row>20</xdr:row>
      <xdr:rowOff>0</xdr:rowOff>
    </xdr:to>
    <xdr:sp macro="" textlink="">
      <xdr:nvSpPr>
        <xdr:cNvPr id="13" name="Rectangle 12">
          <a:extLst>
            <a:ext uri="{FF2B5EF4-FFF2-40B4-BE49-F238E27FC236}">
              <a16:creationId xmlns:a16="http://schemas.microsoft.com/office/drawing/2014/main" id="{00000000-0008-0000-0C00-00000D000000}"/>
            </a:ext>
          </a:extLst>
        </xdr:cNvPr>
        <xdr:cNvSpPr/>
      </xdr:nvSpPr>
      <xdr:spPr bwMode="auto">
        <a:xfrm>
          <a:off x="2880360" y="5863590"/>
          <a:ext cx="11521440" cy="461010"/>
        </a:xfrm>
        <a:prstGeom prst="rect">
          <a:avLst/>
        </a:prstGeom>
        <a:solidFill>
          <a:schemeClr val="accent2">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22</xdr:row>
      <xdr:rowOff>0</xdr:rowOff>
    </xdr:from>
    <xdr:to>
      <xdr:col>12</xdr:col>
      <xdr:colOff>0</xdr:colOff>
      <xdr:row>23</xdr:row>
      <xdr:rowOff>12700</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bwMode="auto">
        <a:xfrm>
          <a:off x="3520440" y="6957060"/>
          <a:ext cx="320040" cy="328930"/>
        </a:xfrm>
        <a:prstGeom prst="rect">
          <a:avLst/>
        </a:prstGeom>
        <a:solidFill>
          <a:schemeClr val="accent2">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24</xdr:row>
      <xdr:rowOff>0</xdr:rowOff>
    </xdr:from>
    <xdr:to>
      <xdr:col>12</xdr:col>
      <xdr:colOff>0</xdr:colOff>
      <xdr:row>25</xdr:row>
      <xdr:rowOff>12700</xdr:rowOff>
    </xdr:to>
    <xdr:sp macro="" textlink="">
      <xdr:nvSpPr>
        <xdr:cNvPr id="15" name="Rectangle 14">
          <a:extLst>
            <a:ext uri="{FF2B5EF4-FFF2-40B4-BE49-F238E27FC236}">
              <a16:creationId xmlns:a16="http://schemas.microsoft.com/office/drawing/2014/main" id="{00000000-0008-0000-0C00-00000F000000}"/>
            </a:ext>
          </a:extLst>
        </xdr:cNvPr>
        <xdr:cNvSpPr/>
      </xdr:nvSpPr>
      <xdr:spPr bwMode="auto">
        <a:xfrm>
          <a:off x="3520440" y="7589520"/>
          <a:ext cx="320040" cy="328930"/>
        </a:xfrm>
        <a:prstGeom prst="rect">
          <a:avLst/>
        </a:prstGeom>
        <a:solidFill>
          <a:srgbClr val="FFCC99">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25</xdr:row>
      <xdr:rowOff>0</xdr:rowOff>
    </xdr:from>
    <xdr:to>
      <xdr:col>12</xdr:col>
      <xdr:colOff>0</xdr:colOff>
      <xdr:row>26</xdr:row>
      <xdr:rowOff>12700</xdr:rowOff>
    </xdr:to>
    <xdr:sp macro="" textlink="">
      <xdr:nvSpPr>
        <xdr:cNvPr id="16" name="Rectangle 15">
          <a:extLst>
            <a:ext uri="{FF2B5EF4-FFF2-40B4-BE49-F238E27FC236}">
              <a16:creationId xmlns:a16="http://schemas.microsoft.com/office/drawing/2014/main" id="{00000000-0008-0000-0C00-000010000000}"/>
            </a:ext>
          </a:extLst>
        </xdr:cNvPr>
        <xdr:cNvSpPr/>
      </xdr:nvSpPr>
      <xdr:spPr bwMode="auto">
        <a:xfrm>
          <a:off x="3520440" y="7905750"/>
          <a:ext cx="320040" cy="328930"/>
        </a:xfrm>
        <a:prstGeom prst="rect">
          <a:avLst/>
        </a:prstGeom>
        <a:solidFill>
          <a:srgbClr val="FF660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9</xdr:col>
      <xdr:colOff>1</xdr:colOff>
      <xdr:row>10</xdr:row>
      <xdr:rowOff>0</xdr:rowOff>
    </xdr:from>
    <xdr:to>
      <xdr:col>45</xdr:col>
      <xdr:colOff>1</xdr:colOff>
      <xdr:row>12</xdr:row>
      <xdr:rowOff>0</xdr:rowOff>
    </xdr:to>
    <xdr:sp macro="" textlink="">
      <xdr:nvSpPr>
        <xdr:cNvPr id="17" name="Rectangle 16">
          <a:extLst>
            <a:ext uri="{FF2B5EF4-FFF2-40B4-BE49-F238E27FC236}">
              <a16:creationId xmlns:a16="http://schemas.microsoft.com/office/drawing/2014/main" id="{00000000-0008-0000-0C00-000011000000}"/>
            </a:ext>
          </a:extLst>
        </xdr:cNvPr>
        <xdr:cNvSpPr/>
      </xdr:nvSpPr>
      <xdr:spPr bwMode="auto">
        <a:xfrm>
          <a:off x="2880361" y="3162300"/>
          <a:ext cx="11521440" cy="632460"/>
        </a:xfrm>
        <a:prstGeom prst="rect">
          <a:avLst/>
        </a:prstGeom>
        <a:solidFill>
          <a:srgbClr val="FFCC99">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45</xdr:col>
      <xdr:colOff>0</xdr:colOff>
      <xdr:row>10</xdr:row>
      <xdr:rowOff>0</xdr:rowOff>
    </xdr:from>
    <xdr:to>
      <xdr:col>47</xdr:col>
      <xdr:colOff>0</xdr:colOff>
      <xdr:row>20</xdr:row>
      <xdr:rowOff>0</xdr:rowOff>
    </xdr:to>
    <xdr:sp macro="" textlink="">
      <xdr:nvSpPr>
        <xdr:cNvPr id="18" name="Rectangle 17">
          <a:extLst>
            <a:ext uri="{FF2B5EF4-FFF2-40B4-BE49-F238E27FC236}">
              <a16:creationId xmlns:a16="http://schemas.microsoft.com/office/drawing/2014/main" id="{00000000-0008-0000-0C00-000012000000}"/>
            </a:ext>
          </a:extLst>
        </xdr:cNvPr>
        <xdr:cNvSpPr/>
      </xdr:nvSpPr>
      <xdr:spPr bwMode="auto">
        <a:xfrm>
          <a:off x="14401800" y="3162300"/>
          <a:ext cx="640080" cy="3162300"/>
        </a:xfrm>
        <a:prstGeom prst="rect">
          <a:avLst/>
        </a:prstGeom>
        <a:solidFill>
          <a:srgbClr val="FF660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7</xdr:col>
      <xdr:colOff>0</xdr:colOff>
      <xdr:row>30</xdr:row>
      <xdr:rowOff>0</xdr:rowOff>
    </xdr:from>
    <xdr:to>
      <xdr:col>9</xdr:col>
      <xdr:colOff>0</xdr:colOff>
      <xdr:row>40</xdr:row>
      <xdr:rowOff>0</xdr:rowOff>
    </xdr:to>
    <xdr:sp macro="" textlink="">
      <xdr:nvSpPr>
        <xdr:cNvPr id="19" name="Rectangle 18">
          <a:extLst>
            <a:ext uri="{FF2B5EF4-FFF2-40B4-BE49-F238E27FC236}">
              <a16:creationId xmlns:a16="http://schemas.microsoft.com/office/drawing/2014/main" id="{00000000-0008-0000-0C00-000013000000}"/>
            </a:ext>
          </a:extLst>
        </xdr:cNvPr>
        <xdr:cNvSpPr/>
      </xdr:nvSpPr>
      <xdr:spPr bwMode="auto">
        <a:xfrm>
          <a:off x="2240280" y="9486900"/>
          <a:ext cx="640080" cy="3162300"/>
        </a:xfrm>
        <a:prstGeom prst="rect">
          <a:avLst/>
        </a:prstGeom>
        <a:solidFill>
          <a:schemeClr val="accent1">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9</xdr:col>
      <xdr:colOff>0</xdr:colOff>
      <xdr:row>38</xdr:row>
      <xdr:rowOff>171450</xdr:rowOff>
    </xdr:from>
    <xdr:to>
      <xdr:col>45</xdr:col>
      <xdr:colOff>0</xdr:colOff>
      <xdr:row>40</xdr:row>
      <xdr:rowOff>0</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bwMode="auto">
        <a:xfrm>
          <a:off x="2880360" y="12188190"/>
          <a:ext cx="11521440" cy="461010"/>
        </a:xfrm>
        <a:prstGeom prst="rect">
          <a:avLst/>
        </a:prstGeom>
        <a:solidFill>
          <a:schemeClr val="accent2">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9</xdr:col>
      <xdr:colOff>1</xdr:colOff>
      <xdr:row>30</xdr:row>
      <xdr:rowOff>0</xdr:rowOff>
    </xdr:from>
    <xdr:to>
      <xdr:col>45</xdr:col>
      <xdr:colOff>1</xdr:colOff>
      <xdr:row>32</xdr:row>
      <xdr:rowOff>0</xdr:rowOff>
    </xdr:to>
    <xdr:sp macro="" textlink="">
      <xdr:nvSpPr>
        <xdr:cNvPr id="21" name="Rectangle 20">
          <a:extLst>
            <a:ext uri="{FF2B5EF4-FFF2-40B4-BE49-F238E27FC236}">
              <a16:creationId xmlns:a16="http://schemas.microsoft.com/office/drawing/2014/main" id="{00000000-0008-0000-0C00-000015000000}"/>
            </a:ext>
          </a:extLst>
        </xdr:cNvPr>
        <xdr:cNvSpPr/>
      </xdr:nvSpPr>
      <xdr:spPr bwMode="auto">
        <a:xfrm>
          <a:off x="2880361" y="9486900"/>
          <a:ext cx="11521440" cy="632460"/>
        </a:xfrm>
        <a:prstGeom prst="rect">
          <a:avLst/>
        </a:prstGeom>
        <a:solidFill>
          <a:srgbClr val="FFCC99">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45</xdr:col>
      <xdr:colOff>0</xdr:colOff>
      <xdr:row>30</xdr:row>
      <xdr:rowOff>0</xdr:rowOff>
    </xdr:from>
    <xdr:to>
      <xdr:col>47</xdr:col>
      <xdr:colOff>0</xdr:colOff>
      <xdr:row>40</xdr:row>
      <xdr:rowOff>0</xdr:rowOff>
    </xdr:to>
    <xdr:sp macro="" textlink="">
      <xdr:nvSpPr>
        <xdr:cNvPr id="22" name="Rectangle 21">
          <a:extLst>
            <a:ext uri="{FF2B5EF4-FFF2-40B4-BE49-F238E27FC236}">
              <a16:creationId xmlns:a16="http://schemas.microsoft.com/office/drawing/2014/main" id="{00000000-0008-0000-0C00-000016000000}"/>
            </a:ext>
          </a:extLst>
        </xdr:cNvPr>
        <xdr:cNvSpPr/>
      </xdr:nvSpPr>
      <xdr:spPr bwMode="auto">
        <a:xfrm>
          <a:off x="14401800" y="9486900"/>
          <a:ext cx="640080" cy="3162300"/>
        </a:xfrm>
        <a:prstGeom prst="rect">
          <a:avLst/>
        </a:prstGeom>
        <a:solidFill>
          <a:srgbClr val="FF660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43</xdr:row>
      <xdr:rowOff>0</xdr:rowOff>
    </xdr:from>
    <xdr:to>
      <xdr:col>12</xdr:col>
      <xdr:colOff>0</xdr:colOff>
      <xdr:row>43</xdr:row>
      <xdr:rowOff>317499</xdr:rowOff>
    </xdr:to>
    <xdr:sp macro="" textlink="">
      <xdr:nvSpPr>
        <xdr:cNvPr id="23" name="Rectangle 22">
          <a:extLst>
            <a:ext uri="{FF2B5EF4-FFF2-40B4-BE49-F238E27FC236}">
              <a16:creationId xmlns:a16="http://schemas.microsoft.com/office/drawing/2014/main" id="{00000000-0008-0000-0C00-000017000000}"/>
            </a:ext>
          </a:extLst>
        </xdr:cNvPr>
        <xdr:cNvSpPr/>
      </xdr:nvSpPr>
      <xdr:spPr bwMode="auto">
        <a:xfrm>
          <a:off x="3520440" y="13597890"/>
          <a:ext cx="320040" cy="317499"/>
        </a:xfrm>
        <a:prstGeom prst="rect">
          <a:avLst/>
        </a:prstGeom>
        <a:solidFill>
          <a:schemeClr val="accent1">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42</xdr:row>
      <xdr:rowOff>0</xdr:rowOff>
    </xdr:from>
    <xdr:to>
      <xdr:col>12</xdr:col>
      <xdr:colOff>0</xdr:colOff>
      <xdr:row>43</xdr:row>
      <xdr:rowOff>12700</xdr:rowOff>
    </xdr:to>
    <xdr:sp macro="" textlink="">
      <xdr:nvSpPr>
        <xdr:cNvPr id="24" name="Rectangle 23">
          <a:extLst>
            <a:ext uri="{FF2B5EF4-FFF2-40B4-BE49-F238E27FC236}">
              <a16:creationId xmlns:a16="http://schemas.microsoft.com/office/drawing/2014/main" id="{00000000-0008-0000-0C00-000018000000}"/>
            </a:ext>
          </a:extLst>
        </xdr:cNvPr>
        <xdr:cNvSpPr/>
      </xdr:nvSpPr>
      <xdr:spPr bwMode="auto">
        <a:xfrm>
          <a:off x="3520440" y="13281660"/>
          <a:ext cx="320040" cy="328930"/>
        </a:xfrm>
        <a:prstGeom prst="rect">
          <a:avLst/>
        </a:prstGeom>
        <a:solidFill>
          <a:schemeClr val="accent2">
            <a:alpha val="25000"/>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44</xdr:row>
      <xdr:rowOff>0</xdr:rowOff>
    </xdr:from>
    <xdr:to>
      <xdr:col>12</xdr:col>
      <xdr:colOff>0</xdr:colOff>
      <xdr:row>45</xdr:row>
      <xdr:rowOff>12700</xdr:rowOff>
    </xdr:to>
    <xdr:sp macro="" textlink="">
      <xdr:nvSpPr>
        <xdr:cNvPr id="25" name="Rectangle 24">
          <a:extLst>
            <a:ext uri="{FF2B5EF4-FFF2-40B4-BE49-F238E27FC236}">
              <a16:creationId xmlns:a16="http://schemas.microsoft.com/office/drawing/2014/main" id="{00000000-0008-0000-0C00-000019000000}"/>
            </a:ext>
          </a:extLst>
        </xdr:cNvPr>
        <xdr:cNvSpPr/>
      </xdr:nvSpPr>
      <xdr:spPr bwMode="auto">
        <a:xfrm>
          <a:off x="3520440" y="13914120"/>
          <a:ext cx="320040" cy="328930"/>
        </a:xfrm>
        <a:prstGeom prst="rect">
          <a:avLst/>
        </a:prstGeom>
        <a:solidFill>
          <a:srgbClr val="FFCC99">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45</xdr:row>
      <xdr:rowOff>0</xdr:rowOff>
    </xdr:from>
    <xdr:to>
      <xdr:col>12</xdr:col>
      <xdr:colOff>0</xdr:colOff>
      <xdr:row>46</xdr:row>
      <xdr:rowOff>12700</xdr:rowOff>
    </xdr:to>
    <xdr:sp macro="" textlink="">
      <xdr:nvSpPr>
        <xdr:cNvPr id="26" name="Rectangle 25">
          <a:extLst>
            <a:ext uri="{FF2B5EF4-FFF2-40B4-BE49-F238E27FC236}">
              <a16:creationId xmlns:a16="http://schemas.microsoft.com/office/drawing/2014/main" id="{00000000-0008-0000-0C00-00001A000000}"/>
            </a:ext>
          </a:extLst>
        </xdr:cNvPr>
        <xdr:cNvSpPr/>
      </xdr:nvSpPr>
      <xdr:spPr bwMode="auto">
        <a:xfrm>
          <a:off x="3520440" y="14230350"/>
          <a:ext cx="320040" cy="328930"/>
        </a:xfrm>
        <a:prstGeom prst="rect">
          <a:avLst/>
        </a:prstGeom>
        <a:solidFill>
          <a:srgbClr val="FF660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11</xdr:col>
      <xdr:colOff>0</xdr:colOff>
      <xdr:row>21</xdr:row>
      <xdr:rowOff>0</xdr:rowOff>
    </xdr:from>
    <xdr:to>
      <xdr:col>12</xdr:col>
      <xdr:colOff>0</xdr:colOff>
      <xdr:row>22</xdr:row>
      <xdr:rowOff>12700</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3520440" y="6640830"/>
          <a:ext cx="320040" cy="328930"/>
          <a:chOff x="6434667" y="6985000"/>
          <a:chExt cx="338667" cy="330200"/>
        </a:xfrm>
      </xdr:grpSpPr>
      <xdr:sp macro="" textlink="">
        <xdr:nvSpPr>
          <xdr:cNvPr id="28" name="Rectangle 27">
            <a:extLst>
              <a:ext uri="{FF2B5EF4-FFF2-40B4-BE49-F238E27FC236}">
                <a16:creationId xmlns:a16="http://schemas.microsoft.com/office/drawing/2014/main" id="{00000000-0008-0000-0C00-00001C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29" name="Rectangle 28">
            <a:extLst>
              <a:ext uri="{FF2B5EF4-FFF2-40B4-BE49-F238E27FC236}">
                <a16:creationId xmlns:a16="http://schemas.microsoft.com/office/drawing/2014/main" id="{00000000-0008-0000-0C00-00001D000000}"/>
              </a:ext>
            </a:extLst>
          </xdr:cNvPr>
          <xdr:cNvSpPr/>
        </xdr:nvSpPr>
        <xdr:spPr bwMode="auto">
          <a:xfrm>
            <a:off x="6512560" y="7058660"/>
            <a:ext cx="182880" cy="182880"/>
          </a:xfrm>
          <a:prstGeom prst="rect">
            <a:avLst/>
          </a:prstGeom>
          <a:solidFill>
            <a:schemeClr val="accent2">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28</xdr:col>
      <xdr:colOff>528</xdr:colOff>
      <xdr:row>18</xdr:row>
      <xdr:rowOff>0</xdr:rowOff>
    </xdr:from>
    <xdr:to>
      <xdr:col>29</xdr:col>
      <xdr:colOff>0</xdr:colOff>
      <xdr:row>19</xdr:row>
      <xdr:rowOff>9525</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8961648" y="5692140"/>
          <a:ext cx="319512" cy="325755"/>
          <a:chOff x="6434667" y="6985000"/>
          <a:chExt cx="338667" cy="330200"/>
        </a:xfrm>
      </xdr:grpSpPr>
      <xdr:sp macro="" textlink="">
        <xdr:nvSpPr>
          <xdr:cNvPr id="31" name="Rectangle 30">
            <a:extLst>
              <a:ext uri="{FF2B5EF4-FFF2-40B4-BE49-F238E27FC236}">
                <a16:creationId xmlns:a16="http://schemas.microsoft.com/office/drawing/2014/main" id="{00000000-0008-0000-0C00-00001F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32" name="Rectangle 31">
            <a:extLst>
              <a:ext uri="{FF2B5EF4-FFF2-40B4-BE49-F238E27FC236}">
                <a16:creationId xmlns:a16="http://schemas.microsoft.com/office/drawing/2014/main" id="{00000000-0008-0000-0C00-000020000000}"/>
              </a:ext>
            </a:extLst>
          </xdr:cNvPr>
          <xdr:cNvSpPr/>
        </xdr:nvSpPr>
        <xdr:spPr bwMode="auto">
          <a:xfrm>
            <a:off x="6512560" y="7058660"/>
            <a:ext cx="182880" cy="182880"/>
          </a:xfrm>
          <a:prstGeom prst="rect">
            <a:avLst/>
          </a:prstGeom>
          <a:solidFill>
            <a:schemeClr val="accent2">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7</xdr:col>
      <xdr:colOff>320039</xdr:colOff>
      <xdr:row>15</xdr:row>
      <xdr:rowOff>0</xdr:rowOff>
    </xdr:from>
    <xdr:to>
      <xdr:col>9</xdr:col>
      <xdr:colOff>0</xdr:colOff>
      <xdr:row>16</xdr:row>
      <xdr:rowOff>12700</xdr:rowOff>
    </xdr:to>
    <xdr:grpSp>
      <xdr:nvGrpSpPr>
        <xdr:cNvPr id="33" name="Group 32">
          <a:extLst>
            <a:ext uri="{FF2B5EF4-FFF2-40B4-BE49-F238E27FC236}">
              <a16:creationId xmlns:a16="http://schemas.microsoft.com/office/drawing/2014/main" id="{00000000-0008-0000-0C00-000021000000}"/>
            </a:ext>
          </a:extLst>
        </xdr:cNvPr>
        <xdr:cNvGrpSpPr/>
      </xdr:nvGrpSpPr>
      <xdr:grpSpPr>
        <a:xfrm>
          <a:off x="2560319" y="4743450"/>
          <a:ext cx="320041" cy="328930"/>
          <a:chOff x="6434667" y="6985000"/>
          <a:chExt cx="338667" cy="330200"/>
        </a:xfrm>
      </xdr:grpSpPr>
      <xdr:sp macro="" textlink="">
        <xdr:nvSpPr>
          <xdr:cNvPr id="34" name="Rectangle 33">
            <a:extLst>
              <a:ext uri="{FF2B5EF4-FFF2-40B4-BE49-F238E27FC236}">
                <a16:creationId xmlns:a16="http://schemas.microsoft.com/office/drawing/2014/main" id="{00000000-0008-0000-0C00-000022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35" name="Rectangle 34">
            <a:extLst>
              <a:ext uri="{FF2B5EF4-FFF2-40B4-BE49-F238E27FC236}">
                <a16:creationId xmlns:a16="http://schemas.microsoft.com/office/drawing/2014/main" id="{00000000-0008-0000-0C00-000023000000}"/>
              </a:ext>
            </a:extLst>
          </xdr:cNvPr>
          <xdr:cNvSpPr/>
        </xdr:nvSpPr>
        <xdr:spPr bwMode="auto">
          <a:xfrm>
            <a:off x="6512560" y="7058660"/>
            <a:ext cx="182880" cy="182880"/>
          </a:xfrm>
          <a:prstGeom prst="rect">
            <a:avLst/>
          </a:prstGeom>
          <a:solidFill>
            <a:schemeClr val="accent1">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41</xdr:col>
      <xdr:colOff>1481</xdr:colOff>
      <xdr:row>10</xdr:row>
      <xdr:rowOff>301625</xdr:rowOff>
    </xdr:from>
    <xdr:to>
      <xdr:col>42</xdr:col>
      <xdr:colOff>0</xdr:colOff>
      <xdr:row>12</xdr:row>
      <xdr:rowOff>0</xdr:rowOff>
    </xdr:to>
    <xdr:grpSp>
      <xdr:nvGrpSpPr>
        <xdr:cNvPr id="36" name="Group 35">
          <a:extLst>
            <a:ext uri="{FF2B5EF4-FFF2-40B4-BE49-F238E27FC236}">
              <a16:creationId xmlns:a16="http://schemas.microsoft.com/office/drawing/2014/main" id="{00000000-0008-0000-0C00-000024000000}"/>
            </a:ext>
          </a:extLst>
        </xdr:cNvPr>
        <xdr:cNvGrpSpPr/>
      </xdr:nvGrpSpPr>
      <xdr:grpSpPr>
        <a:xfrm>
          <a:off x="13123121" y="3463925"/>
          <a:ext cx="318559" cy="330835"/>
          <a:chOff x="6434667" y="6985000"/>
          <a:chExt cx="338667" cy="330200"/>
        </a:xfrm>
      </xdr:grpSpPr>
      <xdr:sp macro="" textlink="">
        <xdr:nvSpPr>
          <xdr:cNvPr id="37" name="Rectangle 36">
            <a:extLst>
              <a:ext uri="{FF2B5EF4-FFF2-40B4-BE49-F238E27FC236}">
                <a16:creationId xmlns:a16="http://schemas.microsoft.com/office/drawing/2014/main" id="{00000000-0008-0000-0C00-000025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38" name="Rectangle 37">
            <a:extLst>
              <a:ext uri="{FF2B5EF4-FFF2-40B4-BE49-F238E27FC236}">
                <a16:creationId xmlns:a16="http://schemas.microsoft.com/office/drawing/2014/main" id="{00000000-0008-0000-0C00-000026000000}"/>
              </a:ext>
            </a:extLst>
          </xdr:cNvPr>
          <xdr:cNvSpPr/>
        </xdr:nvSpPr>
        <xdr:spPr bwMode="auto">
          <a:xfrm>
            <a:off x="6512560" y="7058660"/>
            <a:ext cx="182880" cy="182880"/>
          </a:xfrm>
          <a:prstGeom prst="rect">
            <a:avLst/>
          </a:prstGeom>
          <a:solidFill>
            <a:srgbClr val="FFCC99">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45</xdr:col>
      <xdr:colOff>23812</xdr:colOff>
      <xdr:row>14</xdr:row>
      <xdr:rowOff>0</xdr:rowOff>
    </xdr:from>
    <xdr:to>
      <xdr:col>46</xdr:col>
      <xdr:colOff>28046</xdr:colOff>
      <xdr:row>15</xdr:row>
      <xdr:rowOff>9525</xdr:rowOff>
    </xdr:to>
    <xdr:grpSp>
      <xdr:nvGrpSpPr>
        <xdr:cNvPr id="39" name="Group 38">
          <a:extLst>
            <a:ext uri="{FF2B5EF4-FFF2-40B4-BE49-F238E27FC236}">
              <a16:creationId xmlns:a16="http://schemas.microsoft.com/office/drawing/2014/main" id="{00000000-0008-0000-0C00-000027000000}"/>
            </a:ext>
          </a:extLst>
        </xdr:cNvPr>
        <xdr:cNvGrpSpPr/>
      </xdr:nvGrpSpPr>
      <xdr:grpSpPr>
        <a:xfrm>
          <a:off x="14425612" y="4427220"/>
          <a:ext cx="324274" cy="325755"/>
          <a:chOff x="6434667" y="6985000"/>
          <a:chExt cx="338667" cy="330200"/>
        </a:xfrm>
      </xdr:grpSpPr>
      <xdr:sp macro="" textlink="">
        <xdr:nvSpPr>
          <xdr:cNvPr id="40" name="Rectangle 39">
            <a:extLst>
              <a:ext uri="{FF2B5EF4-FFF2-40B4-BE49-F238E27FC236}">
                <a16:creationId xmlns:a16="http://schemas.microsoft.com/office/drawing/2014/main" id="{00000000-0008-0000-0C00-000028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41" name="Rectangle 40">
            <a:extLst>
              <a:ext uri="{FF2B5EF4-FFF2-40B4-BE49-F238E27FC236}">
                <a16:creationId xmlns:a16="http://schemas.microsoft.com/office/drawing/2014/main" id="{00000000-0008-0000-0C00-000029000000}"/>
              </a:ext>
            </a:extLst>
          </xdr:cNvPr>
          <xdr:cNvSpPr/>
        </xdr:nvSpPr>
        <xdr:spPr bwMode="auto">
          <a:xfrm>
            <a:off x="6512560" y="7058660"/>
            <a:ext cx="182880" cy="182880"/>
          </a:xfrm>
          <a:prstGeom prst="rect">
            <a:avLst/>
          </a:prstGeom>
          <a:solidFill>
            <a:srgbClr val="FF6600">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15</xdr:col>
      <xdr:colOff>20955</xdr:colOff>
      <xdr:row>38</xdr:row>
      <xdr:rowOff>165100</xdr:rowOff>
    </xdr:from>
    <xdr:to>
      <xdr:col>16</xdr:col>
      <xdr:colOff>21168</xdr:colOff>
      <xdr:row>39</xdr:row>
      <xdr:rowOff>177800</xdr:rowOff>
    </xdr:to>
    <xdr:grpSp>
      <xdr:nvGrpSpPr>
        <xdr:cNvPr id="42" name="Group 41">
          <a:extLst>
            <a:ext uri="{FF2B5EF4-FFF2-40B4-BE49-F238E27FC236}">
              <a16:creationId xmlns:a16="http://schemas.microsoft.com/office/drawing/2014/main" id="{00000000-0008-0000-0C00-00002A000000}"/>
            </a:ext>
          </a:extLst>
        </xdr:cNvPr>
        <xdr:cNvGrpSpPr/>
      </xdr:nvGrpSpPr>
      <xdr:grpSpPr>
        <a:xfrm>
          <a:off x="4821555" y="12181840"/>
          <a:ext cx="320253" cy="328930"/>
          <a:chOff x="6434667" y="6985000"/>
          <a:chExt cx="338667" cy="330200"/>
        </a:xfrm>
      </xdr:grpSpPr>
      <xdr:sp macro="" textlink="">
        <xdr:nvSpPr>
          <xdr:cNvPr id="43" name="Rectangle 42">
            <a:extLst>
              <a:ext uri="{FF2B5EF4-FFF2-40B4-BE49-F238E27FC236}">
                <a16:creationId xmlns:a16="http://schemas.microsoft.com/office/drawing/2014/main" id="{00000000-0008-0000-0C00-00002B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44" name="Rectangle 43">
            <a:extLst>
              <a:ext uri="{FF2B5EF4-FFF2-40B4-BE49-F238E27FC236}">
                <a16:creationId xmlns:a16="http://schemas.microsoft.com/office/drawing/2014/main" id="{00000000-0008-0000-0C00-00002C000000}"/>
              </a:ext>
            </a:extLst>
          </xdr:cNvPr>
          <xdr:cNvSpPr/>
        </xdr:nvSpPr>
        <xdr:spPr bwMode="auto">
          <a:xfrm>
            <a:off x="6512560" y="7058660"/>
            <a:ext cx="182880" cy="182880"/>
          </a:xfrm>
          <a:prstGeom prst="rect">
            <a:avLst/>
          </a:prstGeom>
          <a:solidFill>
            <a:schemeClr val="accent2">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7</xdr:col>
      <xdr:colOff>320039</xdr:colOff>
      <xdr:row>35</xdr:row>
      <xdr:rowOff>0</xdr:rowOff>
    </xdr:from>
    <xdr:to>
      <xdr:col>9</xdr:col>
      <xdr:colOff>0</xdr:colOff>
      <xdr:row>36</xdr:row>
      <xdr:rowOff>9525</xdr:rowOff>
    </xdr:to>
    <xdr:grpSp>
      <xdr:nvGrpSpPr>
        <xdr:cNvPr id="45" name="Group 44">
          <a:extLst>
            <a:ext uri="{FF2B5EF4-FFF2-40B4-BE49-F238E27FC236}">
              <a16:creationId xmlns:a16="http://schemas.microsoft.com/office/drawing/2014/main" id="{00000000-0008-0000-0C00-00002D000000}"/>
            </a:ext>
          </a:extLst>
        </xdr:cNvPr>
        <xdr:cNvGrpSpPr/>
      </xdr:nvGrpSpPr>
      <xdr:grpSpPr>
        <a:xfrm>
          <a:off x="2560319" y="11068050"/>
          <a:ext cx="320041" cy="325755"/>
          <a:chOff x="6434667" y="6985000"/>
          <a:chExt cx="338667" cy="330200"/>
        </a:xfrm>
      </xdr:grpSpPr>
      <xdr:sp macro="" textlink="">
        <xdr:nvSpPr>
          <xdr:cNvPr id="46" name="Rectangle 45">
            <a:extLst>
              <a:ext uri="{FF2B5EF4-FFF2-40B4-BE49-F238E27FC236}">
                <a16:creationId xmlns:a16="http://schemas.microsoft.com/office/drawing/2014/main" id="{00000000-0008-0000-0C00-00002E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47" name="Rectangle 46">
            <a:extLst>
              <a:ext uri="{FF2B5EF4-FFF2-40B4-BE49-F238E27FC236}">
                <a16:creationId xmlns:a16="http://schemas.microsoft.com/office/drawing/2014/main" id="{00000000-0008-0000-0C00-00002F000000}"/>
              </a:ext>
            </a:extLst>
          </xdr:cNvPr>
          <xdr:cNvSpPr/>
        </xdr:nvSpPr>
        <xdr:spPr bwMode="auto">
          <a:xfrm>
            <a:off x="6512560" y="7058660"/>
            <a:ext cx="182880" cy="182880"/>
          </a:xfrm>
          <a:prstGeom prst="rect">
            <a:avLst/>
          </a:prstGeom>
          <a:solidFill>
            <a:schemeClr val="accent1">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43</xdr:col>
      <xdr:colOff>1481</xdr:colOff>
      <xdr:row>30</xdr:row>
      <xdr:rowOff>304800</xdr:rowOff>
    </xdr:from>
    <xdr:to>
      <xdr:col>44</xdr:col>
      <xdr:colOff>0</xdr:colOff>
      <xdr:row>32</xdr:row>
      <xdr:rowOff>0</xdr:rowOff>
    </xdr:to>
    <xdr:grpSp>
      <xdr:nvGrpSpPr>
        <xdr:cNvPr id="48" name="Group 47">
          <a:extLst>
            <a:ext uri="{FF2B5EF4-FFF2-40B4-BE49-F238E27FC236}">
              <a16:creationId xmlns:a16="http://schemas.microsoft.com/office/drawing/2014/main" id="{00000000-0008-0000-0C00-000030000000}"/>
            </a:ext>
          </a:extLst>
        </xdr:cNvPr>
        <xdr:cNvGrpSpPr/>
      </xdr:nvGrpSpPr>
      <xdr:grpSpPr>
        <a:xfrm>
          <a:off x="13763201" y="9791700"/>
          <a:ext cx="318559" cy="327660"/>
          <a:chOff x="6434667" y="6985000"/>
          <a:chExt cx="338667" cy="330200"/>
        </a:xfrm>
      </xdr:grpSpPr>
      <xdr:sp macro="" textlink="">
        <xdr:nvSpPr>
          <xdr:cNvPr id="49" name="Rectangle 48">
            <a:extLst>
              <a:ext uri="{FF2B5EF4-FFF2-40B4-BE49-F238E27FC236}">
                <a16:creationId xmlns:a16="http://schemas.microsoft.com/office/drawing/2014/main" id="{00000000-0008-0000-0C00-000031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50" name="Rectangle 49">
            <a:extLst>
              <a:ext uri="{FF2B5EF4-FFF2-40B4-BE49-F238E27FC236}">
                <a16:creationId xmlns:a16="http://schemas.microsoft.com/office/drawing/2014/main" id="{00000000-0008-0000-0C00-000032000000}"/>
              </a:ext>
            </a:extLst>
          </xdr:cNvPr>
          <xdr:cNvSpPr/>
        </xdr:nvSpPr>
        <xdr:spPr bwMode="auto">
          <a:xfrm>
            <a:off x="6512560" y="7058660"/>
            <a:ext cx="182880" cy="182880"/>
          </a:xfrm>
          <a:prstGeom prst="rect">
            <a:avLst/>
          </a:prstGeom>
          <a:solidFill>
            <a:srgbClr val="FFCC99">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45</xdr:col>
      <xdr:colOff>0</xdr:colOff>
      <xdr:row>34</xdr:row>
      <xdr:rowOff>0</xdr:rowOff>
    </xdr:from>
    <xdr:to>
      <xdr:col>46</xdr:col>
      <xdr:colOff>4234</xdr:colOff>
      <xdr:row>35</xdr:row>
      <xdr:rowOff>12700</xdr:rowOff>
    </xdr:to>
    <xdr:grpSp>
      <xdr:nvGrpSpPr>
        <xdr:cNvPr id="51" name="Group 50">
          <a:extLst>
            <a:ext uri="{FF2B5EF4-FFF2-40B4-BE49-F238E27FC236}">
              <a16:creationId xmlns:a16="http://schemas.microsoft.com/office/drawing/2014/main" id="{00000000-0008-0000-0C00-000033000000}"/>
            </a:ext>
          </a:extLst>
        </xdr:cNvPr>
        <xdr:cNvGrpSpPr/>
      </xdr:nvGrpSpPr>
      <xdr:grpSpPr>
        <a:xfrm>
          <a:off x="14401800" y="10751820"/>
          <a:ext cx="324274" cy="328930"/>
          <a:chOff x="6434667" y="6985000"/>
          <a:chExt cx="338667" cy="330200"/>
        </a:xfrm>
      </xdr:grpSpPr>
      <xdr:sp macro="" textlink="">
        <xdr:nvSpPr>
          <xdr:cNvPr id="52" name="Rectangle 51">
            <a:extLst>
              <a:ext uri="{FF2B5EF4-FFF2-40B4-BE49-F238E27FC236}">
                <a16:creationId xmlns:a16="http://schemas.microsoft.com/office/drawing/2014/main" id="{00000000-0008-0000-0C00-000034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53" name="Rectangle 52">
            <a:extLst>
              <a:ext uri="{FF2B5EF4-FFF2-40B4-BE49-F238E27FC236}">
                <a16:creationId xmlns:a16="http://schemas.microsoft.com/office/drawing/2014/main" id="{00000000-0008-0000-0C00-000035000000}"/>
              </a:ext>
            </a:extLst>
          </xdr:cNvPr>
          <xdr:cNvSpPr/>
        </xdr:nvSpPr>
        <xdr:spPr bwMode="auto">
          <a:xfrm>
            <a:off x="6512560" y="7058660"/>
            <a:ext cx="182880" cy="182880"/>
          </a:xfrm>
          <a:prstGeom prst="rect">
            <a:avLst/>
          </a:prstGeom>
          <a:solidFill>
            <a:srgbClr val="FF6600">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11</xdr:col>
      <xdr:colOff>0</xdr:colOff>
      <xdr:row>41</xdr:row>
      <xdr:rowOff>0</xdr:rowOff>
    </xdr:from>
    <xdr:to>
      <xdr:col>12</xdr:col>
      <xdr:colOff>0</xdr:colOff>
      <xdr:row>42</xdr:row>
      <xdr:rowOff>12700</xdr:rowOff>
    </xdr:to>
    <xdr:grpSp>
      <xdr:nvGrpSpPr>
        <xdr:cNvPr id="54" name="Group 53">
          <a:extLst>
            <a:ext uri="{FF2B5EF4-FFF2-40B4-BE49-F238E27FC236}">
              <a16:creationId xmlns:a16="http://schemas.microsoft.com/office/drawing/2014/main" id="{00000000-0008-0000-0C00-000036000000}"/>
            </a:ext>
          </a:extLst>
        </xdr:cNvPr>
        <xdr:cNvGrpSpPr/>
      </xdr:nvGrpSpPr>
      <xdr:grpSpPr>
        <a:xfrm>
          <a:off x="3520440" y="12965430"/>
          <a:ext cx="320040" cy="328930"/>
          <a:chOff x="6434667" y="6985000"/>
          <a:chExt cx="338667" cy="330200"/>
        </a:xfrm>
      </xdr:grpSpPr>
      <xdr:sp macro="" textlink="">
        <xdr:nvSpPr>
          <xdr:cNvPr id="55" name="Rectangle 54">
            <a:extLst>
              <a:ext uri="{FF2B5EF4-FFF2-40B4-BE49-F238E27FC236}">
                <a16:creationId xmlns:a16="http://schemas.microsoft.com/office/drawing/2014/main" id="{00000000-0008-0000-0C00-000037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56" name="Rectangle 55">
            <a:extLst>
              <a:ext uri="{FF2B5EF4-FFF2-40B4-BE49-F238E27FC236}">
                <a16:creationId xmlns:a16="http://schemas.microsoft.com/office/drawing/2014/main" id="{00000000-0008-0000-0C00-000038000000}"/>
              </a:ext>
            </a:extLst>
          </xdr:cNvPr>
          <xdr:cNvSpPr/>
        </xdr:nvSpPr>
        <xdr:spPr bwMode="auto">
          <a:xfrm>
            <a:off x="6512560" y="7058660"/>
            <a:ext cx="182880" cy="182880"/>
          </a:xfrm>
          <a:prstGeom prst="rect">
            <a:avLst/>
          </a:prstGeom>
          <a:solidFill>
            <a:schemeClr val="accent2">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29</xdr:col>
      <xdr:colOff>3810</xdr:colOff>
      <xdr:row>15</xdr:row>
      <xdr:rowOff>308610</xdr:rowOff>
    </xdr:from>
    <xdr:to>
      <xdr:col>33</xdr:col>
      <xdr:colOff>0</xdr:colOff>
      <xdr:row>19</xdr:row>
      <xdr:rowOff>312420</xdr:rowOff>
    </xdr:to>
    <xdr:sp macro="" textlink="">
      <xdr:nvSpPr>
        <xdr:cNvPr id="57" name="Rectangle 56">
          <a:extLst>
            <a:ext uri="{FF2B5EF4-FFF2-40B4-BE49-F238E27FC236}">
              <a16:creationId xmlns:a16="http://schemas.microsoft.com/office/drawing/2014/main" id="{00000000-0008-0000-0C00-000039000000}"/>
            </a:ext>
          </a:extLst>
        </xdr:cNvPr>
        <xdr:cNvSpPr/>
      </xdr:nvSpPr>
      <xdr:spPr bwMode="auto">
        <a:xfrm>
          <a:off x="9284970" y="5052060"/>
          <a:ext cx="1276350" cy="1268730"/>
        </a:xfrm>
        <a:prstGeom prst="rect">
          <a:avLst/>
        </a:prstGeom>
        <a:solidFill>
          <a:srgbClr val="FF00FF">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38</xdr:col>
      <xdr:colOff>0</xdr:colOff>
      <xdr:row>21</xdr:row>
      <xdr:rowOff>303530</xdr:rowOff>
    </xdr:from>
    <xdr:to>
      <xdr:col>39</xdr:col>
      <xdr:colOff>0</xdr:colOff>
      <xdr:row>23</xdr:row>
      <xdr:rowOff>0</xdr:rowOff>
    </xdr:to>
    <xdr:sp macro="" textlink="">
      <xdr:nvSpPr>
        <xdr:cNvPr id="58" name="Rectangle 57">
          <a:extLst>
            <a:ext uri="{FF2B5EF4-FFF2-40B4-BE49-F238E27FC236}">
              <a16:creationId xmlns:a16="http://schemas.microsoft.com/office/drawing/2014/main" id="{00000000-0008-0000-0C00-00003A000000}"/>
            </a:ext>
          </a:extLst>
        </xdr:cNvPr>
        <xdr:cNvSpPr/>
      </xdr:nvSpPr>
      <xdr:spPr bwMode="auto">
        <a:xfrm>
          <a:off x="12161520" y="6944360"/>
          <a:ext cx="320040" cy="328930"/>
        </a:xfrm>
        <a:prstGeom prst="rect">
          <a:avLst/>
        </a:prstGeom>
        <a:solidFill>
          <a:srgbClr val="FF00FF">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21</xdr:col>
      <xdr:colOff>3810</xdr:colOff>
      <xdr:row>17</xdr:row>
      <xdr:rowOff>0</xdr:rowOff>
    </xdr:from>
    <xdr:to>
      <xdr:col>25</xdr:col>
      <xdr:colOff>0</xdr:colOff>
      <xdr:row>19</xdr:row>
      <xdr:rowOff>312420</xdr:rowOff>
    </xdr:to>
    <xdr:sp macro="" textlink="">
      <xdr:nvSpPr>
        <xdr:cNvPr id="59" name="Rectangle 58">
          <a:extLst>
            <a:ext uri="{FF2B5EF4-FFF2-40B4-BE49-F238E27FC236}">
              <a16:creationId xmlns:a16="http://schemas.microsoft.com/office/drawing/2014/main" id="{00000000-0008-0000-0C00-00003B000000}"/>
            </a:ext>
          </a:extLst>
        </xdr:cNvPr>
        <xdr:cNvSpPr/>
      </xdr:nvSpPr>
      <xdr:spPr bwMode="auto">
        <a:xfrm>
          <a:off x="6724650" y="5375910"/>
          <a:ext cx="1276350" cy="94488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38</xdr:col>
      <xdr:colOff>0</xdr:colOff>
      <xdr:row>23</xdr:row>
      <xdr:rowOff>0</xdr:rowOff>
    </xdr:from>
    <xdr:to>
      <xdr:col>39</xdr:col>
      <xdr:colOff>0</xdr:colOff>
      <xdr:row>24</xdr:row>
      <xdr:rowOff>12700</xdr:rowOff>
    </xdr:to>
    <xdr:sp macro="" textlink="">
      <xdr:nvSpPr>
        <xdr:cNvPr id="60" name="Rectangle 59">
          <a:extLst>
            <a:ext uri="{FF2B5EF4-FFF2-40B4-BE49-F238E27FC236}">
              <a16:creationId xmlns:a16="http://schemas.microsoft.com/office/drawing/2014/main" id="{00000000-0008-0000-0C00-00003C000000}"/>
            </a:ext>
          </a:extLst>
        </xdr:cNvPr>
        <xdr:cNvSpPr/>
      </xdr:nvSpPr>
      <xdr:spPr bwMode="auto">
        <a:xfrm>
          <a:off x="12161520" y="7273290"/>
          <a:ext cx="320040" cy="32893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23</xdr:col>
      <xdr:colOff>312420</xdr:colOff>
      <xdr:row>17</xdr:row>
      <xdr:rowOff>303530</xdr:rowOff>
    </xdr:from>
    <xdr:to>
      <xdr:col>24</xdr:col>
      <xdr:colOff>312420</xdr:colOff>
      <xdr:row>19</xdr:row>
      <xdr:rowOff>0</xdr:rowOff>
    </xdr:to>
    <xdr:grpSp>
      <xdr:nvGrpSpPr>
        <xdr:cNvPr id="61" name="Group 60">
          <a:extLst>
            <a:ext uri="{FF2B5EF4-FFF2-40B4-BE49-F238E27FC236}">
              <a16:creationId xmlns:a16="http://schemas.microsoft.com/office/drawing/2014/main" id="{00000000-0008-0000-0C00-00003D000000}"/>
            </a:ext>
          </a:extLst>
        </xdr:cNvPr>
        <xdr:cNvGrpSpPr/>
      </xdr:nvGrpSpPr>
      <xdr:grpSpPr>
        <a:xfrm>
          <a:off x="7673340" y="5679440"/>
          <a:ext cx="320040" cy="328930"/>
          <a:chOff x="6434667" y="6985000"/>
          <a:chExt cx="338667" cy="330200"/>
        </a:xfrm>
      </xdr:grpSpPr>
      <xdr:sp macro="" textlink="">
        <xdr:nvSpPr>
          <xdr:cNvPr id="62" name="Rectangle 61">
            <a:extLst>
              <a:ext uri="{FF2B5EF4-FFF2-40B4-BE49-F238E27FC236}">
                <a16:creationId xmlns:a16="http://schemas.microsoft.com/office/drawing/2014/main" id="{00000000-0008-0000-0C00-00003E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bwMode="auto">
          <a:xfrm>
            <a:off x="6512560" y="7058660"/>
            <a:ext cx="182880" cy="182880"/>
          </a:xfrm>
          <a:prstGeom prst="rect">
            <a:avLst/>
          </a:prstGeom>
          <a:solidFill>
            <a:schemeClr val="accent5">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10</xdr:col>
      <xdr:colOff>0</xdr:colOff>
      <xdr:row>17</xdr:row>
      <xdr:rowOff>3810</xdr:rowOff>
    </xdr:from>
    <xdr:to>
      <xdr:col>21</xdr:col>
      <xdr:colOff>0</xdr:colOff>
      <xdr:row>20</xdr:row>
      <xdr:rowOff>0</xdr:rowOff>
    </xdr:to>
    <xdr:sp macro="" textlink="">
      <xdr:nvSpPr>
        <xdr:cNvPr id="64" name="Rectangle 63">
          <a:extLst>
            <a:ext uri="{FF2B5EF4-FFF2-40B4-BE49-F238E27FC236}">
              <a16:creationId xmlns:a16="http://schemas.microsoft.com/office/drawing/2014/main" id="{00000000-0008-0000-0C00-000040000000}"/>
            </a:ext>
          </a:extLst>
        </xdr:cNvPr>
        <xdr:cNvSpPr/>
      </xdr:nvSpPr>
      <xdr:spPr bwMode="auto">
        <a:xfrm>
          <a:off x="3200400" y="5379720"/>
          <a:ext cx="3520440" cy="944880"/>
        </a:xfrm>
        <a:prstGeom prst="rect">
          <a:avLst/>
        </a:prstGeom>
        <a:solidFill>
          <a:srgbClr val="00B0F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20</xdr:col>
      <xdr:colOff>0</xdr:colOff>
      <xdr:row>22</xdr:row>
      <xdr:rowOff>0</xdr:rowOff>
    </xdr:from>
    <xdr:to>
      <xdr:col>21</xdr:col>
      <xdr:colOff>0</xdr:colOff>
      <xdr:row>23</xdr:row>
      <xdr:rowOff>12700</xdr:rowOff>
    </xdr:to>
    <xdr:sp macro="" textlink="">
      <xdr:nvSpPr>
        <xdr:cNvPr id="65" name="Rectangle 64">
          <a:extLst>
            <a:ext uri="{FF2B5EF4-FFF2-40B4-BE49-F238E27FC236}">
              <a16:creationId xmlns:a16="http://schemas.microsoft.com/office/drawing/2014/main" id="{00000000-0008-0000-0C00-000041000000}"/>
            </a:ext>
          </a:extLst>
        </xdr:cNvPr>
        <xdr:cNvSpPr/>
      </xdr:nvSpPr>
      <xdr:spPr bwMode="auto">
        <a:xfrm>
          <a:off x="6400800" y="6957060"/>
          <a:ext cx="320040" cy="328930"/>
        </a:xfrm>
        <a:prstGeom prst="rect">
          <a:avLst/>
        </a:prstGeom>
        <a:solidFill>
          <a:srgbClr val="00B0F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20</xdr:col>
      <xdr:colOff>0</xdr:colOff>
      <xdr:row>23</xdr:row>
      <xdr:rowOff>0</xdr:rowOff>
    </xdr:from>
    <xdr:to>
      <xdr:col>21</xdr:col>
      <xdr:colOff>0</xdr:colOff>
      <xdr:row>24</xdr:row>
      <xdr:rowOff>12700</xdr:rowOff>
    </xdr:to>
    <xdr:sp macro="" textlink="">
      <xdr:nvSpPr>
        <xdr:cNvPr id="67" name="Rectangle 66">
          <a:extLst>
            <a:ext uri="{FF2B5EF4-FFF2-40B4-BE49-F238E27FC236}">
              <a16:creationId xmlns:a16="http://schemas.microsoft.com/office/drawing/2014/main" id="{00000000-0008-0000-0C00-000043000000}"/>
            </a:ext>
          </a:extLst>
        </xdr:cNvPr>
        <xdr:cNvSpPr/>
      </xdr:nvSpPr>
      <xdr:spPr bwMode="auto">
        <a:xfrm>
          <a:off x="6400800" y="7273290"/>
          <a:ext cx="320040" cy="32893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7</xdr:col>
      <xdr:colOff>0</xdr:colOff>
      <xdr:row>10</xdr:row>
      <xdr:rowOff>0</xdr:rowOff>
    </xdr:from>
    <xdr:to>
      <xdr:col>10</xdr:col>
      <xdr:colOff>0</xdr:colOff>
      <xdr:row>19</xdr:row>
      <xdr:rowOff>312420</xdr:rowOff>
    </xdr:to>
    <xdr:sp macro="" textlink="">
      <xdr:nvSpPr>
        <xdr:cNvPr id="68" name="Rectangle 67">
          <a:extLst>
            <a:ext uri="{FF2B5EF4-FFF2-40B4-BE49-F238E27FC236}">
              <a16:creationId xmlns:a16="http://schemas.microsoft.com/office/drawing/2014/main" id="{00000000-0008-0000-0C00-000044000000}"/>
            </a:ext>
          </a:extLst>
        </xdr:cNvPr>
        <xdr:cNvSpPr/>
      </xdr:nvSpPr>
      <xdr:spPr bwMode="auto">
        <a:xfrm>
          <a:off x="2240280" y="3162300"/>
          <a:ext cx="960120" cy="315849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12</xdr:col>
      <xdr:colOff>0</xdr:colOff>
      <xdr:row>17</xdr:row>
      <xdr:rowOff>0</xdr:rowOff>
    </xdr:from>
    <xdr:to>
      <xdr:col>13</xdr:col>
      <xdr:colOff>0</xdr:colOff>
      <xdr:row>18</xdr:row>
      <xdr:rowOff>12700</xdr:rowOff>
    </xdr:to>
    <xdr:grpSp>
      <xdr:nvGrpSpPr>
        <xdr:cNvPr id="69" name="Group 68">
          <a:extLst>
            <a:ext uri="{FF2B5EF4-FFF2-40B4-BE49-F238E27FC236}">
              <a16:creationId xmlns:a16="http://schemas.microsoft.com/office/drawing/2014/main" id="{00000000-0008-0000-0C00-000045000000}"/>
            </a:ext>
          </a:extLst>
        </xdr:cNvPr>
        <xdr:cNvGrpSpPr/>
      </xdr:nvGrpSpPr>
      <xdr:grpSpPr>
        <a:xfrm>
          <a:off x="3840480" y="5375910"/>
          <a:ext cx="320040" cy="328930"/>
          <a:chOff x="6434667" y="6985000"/>
          <a:chExt cx="338667" cy="330200"/>
        </a:xfrm>
      </xdr:grpSpPr>
      <xdr:sp macro="" textlink="">
        <xdr:nvSpPr>
          <xdr:cNvPr id="70" name="Rectangle 69">
            <a:extLst>
              <a:ext uri="{FF2B5EF4-FFF2-40B4-BE49-F238E27FC236}">
                <a16:creationId xmlns:a16="http://schemas.microsoft.com/office/drawing/2014/main" id="{00000000-0008-0000-0C00-000046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71" name="Rectangle 70">
            <a:extLst>
              <a:ext uri="{FF2B5EF4-FFF2-40B4-BE49-F238E27FC236}">
                <a16:creationId xmlns:a16="http://schemas.microsoft.com/office/drawing/2014/main" id="{00000000-0008-0000-0C00-000047000000}"/>
              </a:ext>
            </a:extLst>
          </xdr:cNvPr>
          <xdr:cNvSpPr/>
        </xdr:nvSpPr>
        <xdr:spPr bwMode="auto">
          <a:xfrm>
            <a:off x="6512560" y="7058660"/>
            <a:ext cx="182880" cy="182880"/>
          </a:xfrm>
          <a:prstGeom prst="rect">
            <a:avLst/>
          </a:prstGeom>
          <a:solidFill>
            <a:srgbClr val="00B0F0">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9</xdr:col>
      <xdr:colOff>0</xdr:colOff>
      <xdr:row>16</xdr:row>
      <xdr:rowOff>303530</xdr:rowOff>
    </xdr:from>
    <xdr:to>
      <xdr:col>10</xdr:col>
      <xdr:colOff>0</xdr:colOff>
      <xdr:row>18</xdr:row>
      <xdr:rowOff>0</xdr:rowOff>
    </xdr:to>
    <xdr:grpSp>
      <xdr:nvGrpSpPr>
        <xdr:cNvPr id="72" name="Group 71">
          <a:extLst>
            <a:ext uri="{FF2B5EF4-FFF2-40B4-BE49-F238E27FC236}">
              <a16:creationId xmlns:a16="http://schemas.microsoft.com/office/drawing/2014/main" id="{00000000-0008-0000-0C00-000048000000}"/>
            </a:ext>
          </a:extLst>
        </xdr:cNvPr>
        <xdr:cNvGrpSpPr/>
      </xdr:nvGrpSpPr>
      <xdr:grpSpPr>
        <a:xfrm>
          <a:off x="2880360" y="5363210"/>
          <a:ext cx="320040" cy="328930"/>
          <a:chOff x="6434667" y="6985000"/>
          <a:chExt cx="338667" cy="330200"/>
        </a:xfrm>
      </xdr:grpSpPr>
      <xdr:sp macro="" textlink="">
        <xdr:nvSpPr>
          <xdr:cNvPr id="73" name="Rectangle 72">
            <a:extLst>
              <a:ext uri="{FF2B5EF4-FFF2-40B4-BE49-F238E27FC236}">
                <a16:creationId xmlns:a16="http://schemas.microsoft.com/office/drawing/2014/main" id="{00000000-0008-0000-0C00-000049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74" name="Rectangle 73">
            <a:extLst>
              <a:ext uri="{FF2B5EF4-FFF2-40B4-BE49-F238E27FC236}">
                <a16:creationId xmlns:a16="http://schemas.microsoft.com/office/drawing/2014/main" id="{00000000-0008-0000-0C00-00004A000000}"/>
              </a:ext>
            </a:extLst>
          </xdr:cNvPr>
          <xdr:cNvSpPr/>
        </xdr:nvSpPr>
        <xdr:spPr bwMode="auto">
          <a:xfrm>
            <a:off x="6512560" y="7058660"/>
            <a:ext cx="182880" cy="182880"/>
          </a:xfrm>
          <a:prstGeom prst="rect">
            <a:avLst/>
          </a:prstGeom>
          <a:solidFill>
            <a:schemeClr val="accent5">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20</xdr:col>
      <xdr:colOff>0</xdr:colOff>
      <xdr:row>24</xdr:row>
      <xdr:rowOff>0</xdr:rowOff>
    </xdr:from>
    <xdr:to>
      <xdr:col>21</xdr:col>
      <xdr:colOff>0</xdr:colOff>
      <xdr:row>25</xdr:row>
      <xdr:rowOff>12700</xdr:rowOff>
    </xdr:to>
    <xdr:sp macro="" textlink="">
      <xdr:nvSpPr>
        <xdr:cNvPr id="75" name="Rectangle 74">
          <a:extLst>
            <a:ext uri="{FF2B5EF4-FFF2-40B4-BE49-F238E27FC236}">
              <a16:creationId xmlns:a16="http://schemas.microsoft.com/office/drawing/2014/main" id="{00000000-0008-0000-0C00-00004B000000}"/>
            </a:ext>
          </a:extLst>
        </xdr:cNvPr>
        <xdr:cNvSpPr/>
      </xdr:nvSpPr>
      <xdr:spPr bwMode="auto">
        <a:xfrm>
          <a:off x="6400800" y="7589520"/>
          <a:ext cx="320040" cy="32893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11</xdr:col>
      <xdr:colOff>0</xdr:colOff>
      <xdr:row>10</xdr:row>
      <xdr:rowOff>3810</xdr:rowOff>
    </xdr:from>
    <xdr:to>
      <xdr:col>20</xdr:col>
      <xdr:colOff>0</xdr:colOff>
      <xdr:row>13</xdr:row>
      <xdr:rowOff>0</xdr:rowOff>
    </xdr:to>
    <xdr:sp macro="" textlink="">
      <xdr:nvSpPr>
        <xdr:cNvPr id="76" name="Rectangle 75">
          <a:extLst>
            <a:ext uri="{FF2B5EF4-FFF2-40B4-BE49-F238E27FC236}">
              <a16:creationId xmlns:a16="http://schemas.microsoft.com/office/drawing/2014/main" id="{00000000-0008-0000-0C00-00004C000000}"/>
            </a:ext>
          </a:extLst>
        </xdr:cNvPr>
        <xdr:cNvSpPr/>
      </xdr:nvSpPr>
      <xdr:spPr bwMode="auto">
        <a:xfrm>
          <a:off x="3520440" y="3166110"/>
          <a:ext cx="2880360" cy="94488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10</xdr:col>
      <xdr:colOff>0</xdr:colOff>
      <xdr:row>10</xdr:row>
      <xdr:rowOff>3810</xdr:rowOff>
    </xdr:from>
    <xdr:to>
      <xdr:col>11</xdr:col>
      <xdr:colOff>0</xdr:colOff>
      <xdr:row>13</xdr:row>
      <xdr:rowOff>0</xdr:rowOff>
    </xdr:to>
    <xdr:sp macro="" textlink="">
      <xdr:nvSpPr>
        <xdr:cNvPr id="77" name="Rectangle 76">
          <a:extLst>
            <a:ext uri="{FF2B5EF4-FFF2-40B4-BE49-F238E27FC236}">
              <a16:creationId xmlns:a16="http://schemas.microsoft.com/office/drawing/2014/main" id="{00000000-0008-0000-0C00-00004D000000}"/>
            </a:ext>
          </a:extLst>
        </xdr:cNvPr>
        <xdr:cNvSpPr/>
      </xdr:nvSpPr>
      <xdr:spPr bwMode="auto">
        <a:xfrm>
          <a:off x="3200400" y="3166110"/>
          <a:ext cx="320040" cy="94488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10</xdr:col>
      <xdr:colOff>266700</xdr:colOff>
      <xdr:row>12</xdr:row>
      <xdr:rowOff>0</xdr:rowOff>
    </xdr:from>
    <xdr:to>
      <xdr:col>11</xdr:col>
      <xdr:colOff>266700</xdr:colOff>
      <xdr:row>13</xdr:row>
      <xdr:rowOff>12700</xdr:rowOff>
    </xdr:to>
    <xdr:grpSp>
      <xdr:nvGrpSpPr>
        <xdr:cNvPr id="78" name="Group 77">
          <a:extLst>
            <a:ext uri="{FF2B5EF4-FFF2-40B4-BE49-F238E27FC236}">
              <a16:creationId xmlns:a16="http://schemas.microsoft.com/office/drawing/2014/main" id="{00000000-0008-0000-0C00-00004E000000}"/>
            </a:ext>
          </a:extLst>
        </xdr:cNvPr>
        <xdr:cNvGrpSpPr/>
      </xdr:nvGrpSpPr>
      <xdr:grpSpPr>
        <a:xfrm>
          <a:off x="3467100" y="3794760"/>
          <a:ext cx="320040" cy="328930"/>
          <a:chOff x="6434667" y="6985000"/>
          <a:chExt cx="338667" cy="330200"/>
        </a:xfrm>
      </xdr:grpSpPr>
      <xdr:sp macro="" textlink="">
        <xdr:nvSpPr>
          <xdr:cNvPr id="79" name="Rectangle 78">
            <a:extLst>
              <a:ext uri="{FF2B5EF4-FFF2-40B4-BE49-F238E27FC236}">
                <a16:creationId xmlns:a16="http://schemas.microsoft.com/office/drawing/2014/main" id="{00000000-0008-0000-0C00-00004F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80" name="Rectangle 79">
            <a:extLst>
              <a:ext uri="{FF2B5EF4-FFF2-40B4-BE49-F238E27FC236}">
                <a16:creationId xmlns:a16="http://schemas.microsoft.com/office/drawing/2014/main" id="{00000000-0008-0000-0C00-000050000000}"/>
              </a:ext>
            </a:extLst>
          </xdr:cNvPr>
          <xdr:cNvSpPr/>
        </xdr:nvSpPr>
        <xdr:spPr bwMode="auto">
          <a:xfrm>
            <a:off x="6512560" y="7058660"/>
            <a:ext cx="182880" cy="182880"/>
          </a:xfrm>
          <a:prstGeom prst="rect">
            <a:avLst/>
          </a:prstGeom>
          <a:solidFill>
            <a:schemeClr val="accent6">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20</xdr:col>
      <xdr:colOff>0</xdr:colOff>
      <xdr:row>25</xdr:row>
      <xdr:rowOff>0</xdr:rowOff>
    </xdr:from>
    <xdr:to>
      <xdr:col>21</xdr:col>
      <xdr:colOff>0</xdr:colOff>
      <xdr:row>26</xdr:row>
      <xdr:rowOff>12700</xdr:rowOff>
    </xdr:to>
    <xdr:sp macro="" textlink="">
      <xdr:nvSpPr>
        <xdr:cNvPr id="81" name="Rectangle 80">
          <a:extLst>
            <a:ext uri="{FF2B5EF4-FFF2-40B4-BE49-F238E27FC236}">
              <a16:creationId xmlns:a16="http://schemas.microsoft.com/office/drawing/2014/main" id="{00000000-0008-0000-0C00-000051000000}"/>
            </a:ext>
          </a:extLst>
        </xdr:cNvPr>
        <xdr:cNvSpPr/>
      </xdr:nvSpPr>
      <xdr:spPr bwMode="auto">
        <a:xfrm>
          <a:off x="6400800" y="7905750"/>
          <a:ext cx="320040" cy="32893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9</xdr:col>
      <xdr:colOff>312420</xdr:colOff>
      <xdr:row>13</xdr:row>
      <xdr:rowOff>11430</xdr:rowOff>
    </xdr:from>
    <xdr:to>
      <xdr:col>20</xdr:col>
      <xdr:colOff>0</xdr:colOff>
      <xdr:row>17</xdr:row>
      <xdr:rowOff>0</xdr:rowOff>
    </xdr:to>
    <xdr:sp macro="" textlink="">
      <xdr:nvSpPr>
        <xdr:cNvPr id="82" name="Rectangle 81">
          <a:extLst>
            <a:ext uri="{FF2B5EF4-FFF2-40B4-BE49-F238E27FC236}">
              <a16:creationId xmlns:a16="http://schemas.microsoft.com/office/drawing/2014/main" id="{00000000-0008-0000-0C00-000052000000}"/>
            </a:ext>
          </a:extLst>
        </xdr:cNvPr>
        <xdr:cNvSpPr/>
      </xdr:nvSpPr>
      <xdr:spPr bwMode="auto">
        <a:xfrm>
          <a:off x="3192780" y="4122420"/>
          <a:ext cx="3208020" cy="125349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20</xdr:col>
      <xdr:colOff>0</xdr:colOff>
      <xdr:row>16</xdr:row>
      <xdr:rowOff>0</xdr:rowOff>
    </xdr:from>
    <xdr:to>
      <xdr:col>25</xdr:col>
      <xdr:colOff>7620</xdr:colOff>
      <xdr:row>17</xdr:row>
      <xdr:rowOff>0</xdr:rowOff>
    </xdr:to>
    <xdr:sp macro="" textlink="">
      <xdr:nvSpPr>
        <xdr:cNvPr id="83" name="Rectangle 82">
          <a:extLst>
            <a:ext uri="{FF2B5EF4-FFF2-40B4-BE49-F238E27FC236}">
              <a16:creationId xmlns:a16="http://schemas.microsoft.com/office/drawing/2014/main" id="{00000000-0008-0000-0C00-000053000000}"/>
            </a:ext>
          </a:extLst>
        </xdr:cNvPr>
        <xdr:cNvSpPr/>
      </xdr:nvSpPr>
      <xdr:spPr bwMode="auto">
        <a:xfrm>
          <a:off x="6400800" y="5059680"/>
          <a:ext cx="1607820" cy="31623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24</xdr:col>
      <xdr:colOff>312420</xdr:colOff>
      <xdr:row>14</xdr:row>
      <xdr:rowOff>0</xdr:rowOff>
    </xdr:from>
    <xdr:to>
      <xdr:col>29</xdr:col>
      <xdr:colOff>0</xdr:colOff>
      <xdr:row>20</xdr:row>
      <xdr:rowOff>0</xdr:rowOff>
    </xdr:to>
    <xdr:sp macro="" textlink="">
      <xdr:nvSpPr>
        <xdr:cNvPr id="84" name="Rectangle 83">
          <a:extLst>
            <a:ext uri="{FF2B5EF4-FFF2-40B4-BE49-F238E27FC236}">
              <a16:creationId xmlns:a16="http://schemas.microsoft.com/office/drawing/2014/main" id="{00000000-0008-0000-0C00-000054000000}"/>
            </a:ext>
          </a:extLst>
        </xdr:cNvPr>
        <xdr:cNvSpPr/>
      </xdr:nvSpPr>
      <xdr:spPr bwMode="auto">
        <a:xfrm>
          <a:off x="7993380" y="4427220"/>
          <a:ext cx="1287780" cy="189738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25</xdr:col>
      <xdr:colOff>0</xdr:colOff>
      <xdr:row>12</xdr:row>
      <xdr:rowOff>0</xdr:rowOff>
    </xdr:from>
    <xdr:to>
      <xdr:col>27</xdr:col>
      <xdr:colOff>0</xdr:colOff>
      <xdr:row>14</xdr:row>
      <xdr:rowOff>0</xdr:rowOff>
    </xdr:to>
    <xdr:sp macro="" textlink="">
      <xdr:nvSpPr>
        <xdr:cNvPr id="85" name="Rectangle 84">
          <a:extLst>
            <a:ext uri="{FF2B5EF4-FFF2-40B4-BE49-F238E27FC236}">
              <a16:creationId xmlns:a16="http://schemas.microsoft.com/office/drawing/2014/main" id="{00000000-0008-0000-0C00-000055000000}"/>
            </a:ext>
          </a:extLst>
        </xdr:cNvPr>
        <xdr:cNvSpPr/>
      </xdr:nvSpPr>
      <xdr:spPr bwMode="auto">
        <a:xfrm>
          <a:off x="8001000" y="3794760"/>
          <a:ext cx="640080" cy="632460"/>
        </a:xfrm>
        <a:prstGeom prst="rect">
          <a:avLst/>
        </a:prstGeom>
        <a:solidFill>
          <a:srgbClr val="FF00FF">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clientData/>
  </xdr:twoCellAnchor>
  <xdr:twoCellAnchor>
    <xdr:from>
      <xdr:col>28</xdr:col>
      <xdr:colOff>0</xdr:colOff>
      <xdr:row>17</xdr:row>
      <xdr:rowOff>0</xdr:rowOff>
    </xdr:from>
    <xdr:to>
      <xdr:col>29</xdr:col>
      <xdr:colOff>0</xdr:colOff>
      <xdr:row>18</xdr:row>
      <xdr:rowOff>12700</xdr:rowOff>
    </xdr:to>
    <xdr:grpSp>
      <xdr:nvGrpSpPr>
        <xdr:cNvPr id="86" name="Group 85">
          <a:extLst>
            <a:ext uri="{FF2B5EF4-FFF2-40B4-BE49-F238E27FC236}">
              <a16:creationId xmlns:a16="http://schemas.microsoft.com/office/drawing/2014/main" id="{00000000-0008-0000-0C00-000056000000}"/>
            </a:ext>
          </a:extLst>
        </xdr:cNvPr>
        <xdr:cNvGrpSpPr/>
      </xdr:nvGrpSpPr>
      <xdr:grpSpPr>
        <a:xfrm>
          <a:off x="8961120" y="5375910"/>
          <a:ext cx="320040" cy="328930"/>
          <a:chOff x="6434667" y="6985000"/>
          <a:chExt cx="338667" cy="330200"/>
        </a:xfrm>
      </xdr:grpSpPr>
      <xdr:sp macro="" textlink="">
        <xdr:nvSpPr>
          <xdr:cNvPr id="87" name="Rectangle 86">
            <a:extLst>
              <a:ext uri="{FF2B5EF4-FFF2-40B4-BE49-F238E27FC236}">
                <a16:creationId xmlns:a16="http://schemas.microsoft.com/office/drawing/2014/main" id="{00000000-0008-0000-0C00-000057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88" name="Rectangle 87">
            <a:extLst>
              <a:ext uri="{FF2B5EF4-FFF2-40B4-BE49-F238E27FC236}">
                <a16:creationId xmlns:a16="http://schemas.microsoft.com/office/drawing/2014/main" id="{00000000-0008-0000-0C00-000058000000}"/>
              </a:ext>
            </a:extLst>
          </xdr:cNvPr>
          <xdr:cNvSpPr/>
        </xdr:nvSpPr>
        <xdr:spPr bwMode="auto">
          <a:xfrm>
            <a:off x="6512560" y="7058660"/>
            <a:ext cx="182880" cy="182880"/>
          </a:xfrm>
          <a:prstGeom prst="rect">
            <a:avLst/>
          </a:prstGeom>
          <a:solidFill>
            <a:schemeClr val="accent4">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25</xdr:col>
      <xdr:colOff>0</xdr:colOff>
      <xdr:row>10</xdr:row>
      <xdr:rowOff>0</xdr:rowOff>
    </xdr:from>
    <xdr:to>
      <xdr:col>27</xdr:col>
      <xdr:colOff>0</xdr:colOff>
      <xdr:row>12</xdr:row>
      <xdr:rowOff>0</xdr:rowOff>
    </xdr:to>
    <xdr:sp macro="" textlink="">
      <xdr:nvSpPr>
        <xdr:cNvPr id="89" name="Rectangle 88">
          <a:extLst>
            <a:ext uri="{FF2B5EF4-FFF2-40B4-BE49-F238E27FC236}">
              <a16:creationId xmlns:a16="http://schemas.microsoft.com/office/drawing/2014/main" id="{00000000-0008-0000-0C00-000059000000}"/>
            </a:ext>
          </a:extLst>
        </xdr:cNvPr>
        <xdr:cNvSpPr/>
      </xdr:nvSpPr>
      <xdr:spPr bwMode="auto">
        <a:xfrm>
          <a:off x="8001000" y="3162300"/>
          <a:ext cx="640080" cy="63246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29</xdr:col>
      <xdr:colOff>0</xdr:colOff>
      <xdr:row>21</xdr:row>
      <xdr:rowOff>303530</xdr:rowOff>
    </xdr:from>
    <xdr:to>
      <xdr:col>30</xdr:col>
      <xdr:colOff>0</xdr:colOff>
      <xdr:row>23</xdr:row>
      <xdr:rowOff>0</xdr:rowOff>
    </xdr:to>
    <xdr:sp macro="" textlink="">
      <xdr:nvSpPr>
        <xdr:cNvPr id="90" name="Rectangle 89">
          <a:extLst>
            <a:ext uri="{FF2B5EF4-FFF2-40B4-BE49-F238E27FC236}">
              <a16:creationId xmlns:a16="http://schemas.microsoft.com/office/drawing/2014/main" id="{00000000-0008-0000-0C00-00005A000000}"/>
            </a:ext>
          </a:extLst>
        </xdr:cNvPr>
        <xdr:cNvSpPr/>
      </xdr:nvSpPr>
      <xdr:spPr bwMode="auto">
        <a:xfrm>
          <a:off x="9281160" y="6944360"/>
          <a:ext cx="320040" cy="328930"/>
        </a:xfrm>
        <a:prstGeom prst="rect">
          <a:avLst/>
        </a:prstGeom>
        <a:solidFill>
          <a:srgbClr val="00B0F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33</xdr:col>
      <xdr:colOff>0</xdr:colOff>
      <xdr:row>16</xdr:row>
      <xdr:rowOff>303530</xdr:rowOff>
    </xdr:from>
    <xdr:to>
      <xdr:col>44</xdr:col>
      <xdr:colOff>0</xdr:colOff>
      <xdr:row>20</xdr:row>
      <xdr:rowOff>0</xdr:rowOff>
    </xdr:to>
    <xdr:sp macro="" textlink="">
      <xdr:nvSpPr>
        <xdr:cNvPr id="91" name="Rectangle 90">
          <a:extLst>
            <a:ext uri="{FF2B5EF4-FFF2-40B4-BE49-F238E27FC236}">
              <a16:creationId xmlns:a16="http://schemas.microsoft.com/office/drawing/2014/main" id="{00000000-0008-0000-0C00-00005B000000}"/>
            </a:ext>
          </a:extLst>
        </xdr:cNvPr>
        <xdr:cNvSpPr/>
      </xdr:nvSpPr>
      <xdr:spPr bwMode="auto">
        <a:xfrm>
          <a:off x="10561320" y="5363210"/>
          <a:ext cx="3520440" cy="961390"/>
        </a:xfrm>
        <a:prstGeom prst="rect">
          <a:avLst/>
        </a:prstGeom>
        <a:solidFill>
          <a:srgbClr val="00B0F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38</xdr:col>
      <xdr:colOff>0</xdr:colOff>
      <xdr:row>17</xdr:row>
      <xdr:rowOff>0</xdr:rowOff>
    </xdr:from>
    <xdr:to>
      <xdr:col>39</xdr:col>
      <xdr:colOff>0</xdr:colOff>
      <xdr:row>18</xdr:row>
      <xdr:rowOff>12700</xdr:rowOff>
    </xdr:to>
    <xdr:grpSp>
      <xdr:nvGrpSpPr>
        <xdr:cNvPr id="92" name="Group 91">
          <a:extLst>
            <a:ext uri="{FF2B5EF4-FFF2-40B4-BE49-F238E27FC236}">
              <a16:creationId xmlns:a16="http://schemas.microsoft.com/office/drawing/2014/main" id="{00000000-0008-0000-0C00-00005C000000}"/>
            </a:ext>
          </a:extLst>
        </xdr:cNvPr>
        <xdr:cNvGrpSpPr/>
      </xdr:nvGrpSpPr>
      <xdr:grpSpPr>
        <a:xfrm>
          <a:off x="12161520" y="5375910"/>
          <a:ext cx="320040" cy="328930"/>
          <a:chOff x="6434667" y="6985000"/>
          <a:chExt cx="338667" cy="330200"/>
        </a:xfrm>
      </xdr:grpSpPr>
      <xdr:sp macro="" textlink="">
        <xdr:nvSpPr>
          <xdr:cNvPr id="93" name="Rectangle 92">
            <a:extLst>
              <a:ext uri="{FF2B5EF4-FFF2-40B4-BE49-F238E27FC236}">
                <a16:creationId xmlns:a16="http://schemas.microsoft.com/office/drawing/2014/main" id="{00000000-0008-0000-0C00-00005D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94" name="Rectangle 93">
            <a:extLst>
              <a:ext uri="{FF2B5EF4-FFF2-40B4-BE49-F238E27FC236}">
                <a16:creationId xmlns:a16="http://schemas.microsoft.com/office/drawing/2014/main" id="{00000000-0008-0000-0C00-00005E000000}"/>
              </a:ext>
            </a:extLst>
          </xdr:cNvPr>
          <xdr:cNvSpPr/>
        </xdr:nvSpPr>
        <xdr:spPr bwMode="auto">
          <a:xfrm>
            <a:off x="6512560" y="7058660"/>
            <a:ext cx="182880" cy="182880"/>
          </a:xfrm>
          <a:prstGeom prst="rect">
            <a:avLst/>
          </a:prstGeom>
          <a:solidFill>
            <a:srgbClr val="00B0F0">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44</xdr:col>
      <xdr:colOff>0</xdr:colOff>
      <xdr:row>10</xdr:row>
      <xdr:rowOff>0</xdr:rowOff>
    </xdr:from>
    <xdr:to>
      <xdr:col>47</xdr:col>
      <xdr:colOff>0</xdr:colOff>
      <xdr:row>19</xdr:row>
      <xdr:rowOff>312420</xdr:rowOff>
    </xdr:to>
    <xdr:sp macro="" textlink="">
      <xdr:nvSpPr>
        <xdr:cNvPr id="95" name="Rectangle 94">
          <a:extLst>
            <a:ext uri="{FF2B5EF4-FFF2-40B4-BE49-F238E27FC236}">
              <a16:creationId xmlns:a16="http://schemas.microsoft.com/office/drawing/2014/main" id="{00000000-0008-0000-0C00-00005F000000}"/>
            </a:ext>
          </a:extLst>
        </xdr:cNvPr>
        <xdr:cNvSpPr/>
      </xdr:nvSpPr>
      <xdr:spPr bwMode="auto">
        <a:xfrm>
          <a:off x="14081760" y="3162300"/>
          <a:ext cx="960120" cy="315849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44</xdr:col>
      <xdr:colOff>0</xdr:colOff>
      <xdr:row>13</xdr:row>
      <xdr:rowOff>303530</xdr:rowOff>
    </xdr:from>
    <xdr:to>
      <xdr:col>45</xdr:col>
      <xdr:colOff>0</xdr:colOff>
      <xdr:row>15</xdr:row>
      <xdr:rowOff>0</xdr:rowOff>
    </xdr:to>
    <xdr:grpSp>
      <xdr:nvGrpSpPr>
        <xdr:cNvPr id="96" name="Group 95">
          <a:extLst>
            <a:ext uri="{FF2B5EF4-FFF2-40B4-BE49-F238E27FC236}">
              <a16:creationId xmlns:a16="http://schemas.microsoft.com/office/drawing/2014/main" id="{00000000-0008-0000-0C00-000060000000}"/>
            </a:ext>
          </a:extLst>
        </xdr:cNvPr>
        <xdr:cNvGrpSpPr/>
      </xdr:nvGrpSpPr>
      <xdr:grpSpPr>
        <a:xfrm>
          <a:off x="14081760" y="4414520"/>
          <a:ext cx="320040" cy="328930"/>
          <a:chOff x="6434667" y="6985000"/>
          <a:chExt cx="338667" cy="330200"/>
        </a:xfrm>
      </xdr:grpSpPr>
      <xdr:sp macro="" textlink="">
        <xdr:nvSpPr>
          <xdr:cNvPr id="97" name="Rectangle 96">
            <a:extLst>
              <a:ext uri="{FF2B5EF4-FFF2-40B4-BE49-F238E27FC236}">
                <a16:creationId xmlns:a16="http://schemas.microsoft.com/office/drawing/2014/main" id="{00000000-0008-0000-0C00-000061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98" name="Rectangle 97">
            <a:extLst>
              <a:ext uri="{FF2B5EF4-FFF2-40B4-BE49-F238E27FC236}">
                <a16:creationId xmlns:a16="http://schemas.microsoft.com/office/drawing/2014/main" id="{00000000-0008-0000-0C00-000062000000}"/>
              </a:ext>
            </a:extLst>
          </xdr:cNvPr>
          <xdr:cNvSpPr/>
        </xdr:nvSpPr>
        <xdr:spPr bwMode="auto">
          <a:xfrm>
            <a:off x="6512560" y="7058660"/>
            <a:ext cx="182880" cy="182880"/>
          </a:xfrm>
          <a:prstGeom prst="rect">
            <a:avLst/>
          </a:prstGeom>
          <a:solidFill>
            <a:schemeClr val="accent5">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29</xdr:col>
      <xdr:colOff>0</xdr:colOff>
      <xdr:row>23</xdr:row>
      <xdr:rowOff>0</xdr:rowOff>
    </xdr:from>
    <xdr:to>
      <xdr:col>30</xdr:col>
      <xdr:colOff>0</xdr:colOff>
      <xdr:row>24</xdr:row>
      <xdr:rowOff>12700</xdr:rowOff>
    </xdr:to>
    <xdr:sp macro="" textlink="">
      <xdr:nvSpPr>
        <xdr:cNvPr id="99" name="Rectangle 98">
          <a:extLst>
            <a:ext uri="{FF2B5EF4-FFF2-40B4-BE49-F238E27FC236}">
              <a16:creationId xmlns:a16="http://schemas.microsoft.com/office/drawing/2014/main" id="{00000000-0008-0000-0C00-000063000000}"/>
            </a:ext>
          </a:extLst>
        </xdr:cNvPr>
        <xdr:cNvSpPr/>
      </xdr:nvSpPr>
      <xdr:spPr bwMode="auto">
        <a:xfrm>
          <a:off x="9281160" y="7273290"/>
          <a:ext cx="320040" cy="32893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31</xdr:col>
      <xdr:colOff>0</xdr:colOff>
      <xdr:row>10</xdr:row>
      <xdr:rowOff>0</xdr:rowOff>
    </xdr:from>
    <xdr:to>
      <xdr:col>44</xdr:col>
      <xdr:colOff>0</xdr:colOff>
      <xdr:row>12</xdr:row>
      <xdr:rowOff>312420</xdr:rowOff>
    </xdr:to>
    <xdr:sp macro="" textlink="">
      <xdr:nvSpPr>
        <xdr:cNvPr id="100" name="Rectangle 99">
          <a:extLst>
            <a:ext uri="{FF2B5EF4-FFF2-40B4-BE49-F238E27FC236}">
              <a16:creationId xmlns:a16="http://schemas.microsoft.com/office/drawing/2014/main" id="{00000000-0008-0000-0C00-000064000000}"/>
            </a:ext>
          </a:extLst>
        </xdr:cNvPr>
        <xdr:cNvSpPr/>
      </xdr:nvSpPr>
      <xdr:spPr bwMode="auto">
        <a:xfrm>
          <a:off x="9921240" y="3162300"/>
          <a:ext cx="4160520" cy="94488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29</xdr:col>
      <xdr:colOff>0</xdr:colOff>
      <xdr:row>23</xdr:row>
      <xdr:rowOff>303530</xdr:rowOff>
    </xdr:from>
    <xdr:to>
      <xdr:col>30</xdr:col>
      <xdr:colOff>0</xdr:colOff>
      <xdr:row>25</xdr:row>
      <xdr:rowOff>0</xdr:rowOff>
    </xdr:to>
    <xdr:sp macro="" textlink="">
      <xdr:nvSpPr>
        <xdr:cNvPr id="101" name="Rectangle 100">
          <a:extLst>
            <a:ext uri="{FF2B5EF4-FFF2-40B4-BE49-F238E27FC236}">
              <a16:creationId xmlns:a16="http://schemas.microsoft.com/office/drawing/2014/main" id="{00000000-0008-0000-0C00-000065000000}"/>
            </a:ext>
          </a:extLst>
        </xdr:cNvPr>
        <xdr:cNvSpPr/>
      </xdr:nvSpPr>
      <xdr:spPr bwMode="auto">
        <a:xfrm>
          <a:off x="9281160" y="7576820"/>
          <a:ext cx="320040" cy="32893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43</xdr:col>
      <xdr:colOff>60960</xdr:colOff>
      <xdr:row>11</xdr:row>
      <xdr:rowOff>0</xdr:rowOff>
    </xdr:from>
    <xdr:to>
      <xdr:col>44</xdr:col>
      <xdr:colOff>60960</xdr:colOff>
      <xdr:row>12</xdr:row>
      <xdr:rowOff>12700</xdr:rowOff>
    </xdr:to>
    <xdr:grpSp>
      <xdr:nvGrpSpPr>
        <xdr:cNvPr id="102" name="Group 101">
          <a:extLst>
            <a:ext uri="{FF2B5EF4-FFF2-40B4-BE49-F238E27FC236}">
              <a16:creationId xmlns:a16="http://schemas.microsoft.com/office/drawing/2014/main" id="{00000000-0008-0000-0C00-000066000000}"/>
            </a:ext>
          </a:extLst>
        </xdr:cNvPr>
        <xdr:cNvGrpSpPr/>
      </xdr:nvGrpSpPr>
      <xdr:grpSpPr>
        <a:xfrm>
          <a:off x="13822680" y="3478530"/>
          <a:ext cx="320040" cy="328930"/>
          <a:chOff x="6434667" y="6985000"/>
          <a:chExt cx="338667" cy="330200"/>
        </a:xfrm>
      </xdr:grpSpPr>
      <xdr:sp macro="" textlink="">
        <xdr:nvSpPr>
          <xdr:cNvPr id="103" name="Rectangle 102">
            <a:extLst>
              <a:ext uri="{FF2B5EF4-FFF2-40B4-BE49-F238E27FC236}">
                <a16:creationId xmlns:a16="http://schemas.microsoft.com/office/drawing/2014/main" id="{00000000-0008-0000-0C00-000067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04" name="Rectangle 103">
            <a:extLst>
              <a:ext uri="{FF2B5EF4-FFF2-40B4-BE49-F238E27FC236}">
                <a16:creationId xmlns:a16="http://schemas.microsoft.com/office/drawing/2014/main" id="{00000000-0008-0000-0C00-000068000000}"/>
              </a:ext>
            </a:extLst>
          </xdr:cNvPr>
          <xdr:cNvSpPr/>
        </xdr:nvSpPr>
        <xdr:spPr bwMode="auto">
          <a:xfrm>
            <a:off x="6512560" y="7058660"/>
            <a:ext cx="182880" cy="182880"/>
          </a:xfrm>
          <a:prstGeom prst="rect">
            <a:avLst/>
          </a:prstGeom>
          <a:solidFill>
            <a:schemeClr val="accent6">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29</xdr:col>
      <xdr:colOff>0</xdr:colOff>
      <xdr:row>25</xdr:row>
      <xdr:rowOff>0</xdr:rowOff>
    </xdr:from>
    <xdr:to>
      <xdr:col>30</xdr:col>
      <xdr:colOff>0</xdr:colOff>
      <xdr:row>26</xdr:row>
      <xdr:rowOff>12700</xdr:rowOff>
    </xdr:to>
    <xdr:sp macro="" textlink="">
      <xdr:nvSpPr>
        <xdr:cNvPr id="105" name="Rectangle 104">
          <a:extLst>
            <a:ext uri="{FF2B5EF4-FFF2-40B4-BE49-F238E27FC236}">
              <a16:creationId xmlns:a16="http://schemas.microsoft.com/office/drawing/2014/main" id="{00000000-0008-0000-0C00-000069000000}"/>
            </a:ext>
          </a:extLst>
        </xdr:cNvPr>
        <xdr:cNvSpPr/>
      </xdr:nvSpPr>
      <xdr:spPr bwMode="auto">
        <a:xfrm>
          <a:off x="9281160" y="7905750"/>
          <a:ext cx="320040" cy="328930"/>
        </a:xfrm>
        <a:prstGeom prst="rect">
          <a:avLst/>
        </a:prstGeom>
        <a:solidFill>
          <a:srgbClr val="66FF66">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33</xdr:col>
      <xdr:colOff>0</xdr:colOff>
      <xdr:row>13</xdr:row>
      <xdr:rowOff>0</xdr:rowOff>
    </xdr:from>
    <xdr:to>
      <xdr:col>44</xdr:col>
      <xdr:colOff>0</xdr:colOff>
      <xdr:row>17</xdr:row>
      <xdr:rowOff>0</xdr:rowOff>
    </xdr:to>
    <xdr:sp macro="" textlink="">
      <xdr:nvSpPr>
        <xdr:cNvPr id="106" name="Rectangle 105">
          <a:extLst>
            <a:ext uri="{FF2B5EF4-FFF2-40B4-BE49-F238E27FC236}">
              <a16:creationId xmlns:a16="http://schemas.microsoft.com/office/drawing/2014/main" id="{00000000-0008-0000-0C00-00006A000000}"/>
            </a:ext>
          </a:extLst>
        </xdr:cNvPr>
        <xdr:cNvSpPr/>
      </xdr:nvSpPr>
      <xdr:spPr bwMode="auto">
        <a:xfrm>
          <a:off x="10561320" y="4110990"/>
          <a:ext cx="3520440" cy="1264920"/>
        </a:xfrm>
        <a:prstGeom prst="rect">
          <a:avLst/>
        </a:prstGeom>
        <a:solidFill>
          <a:srgbClr val="66FF66">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29</xdr:col>
      <xdr:colOff>0</xdr:colOff>
      <xdr:row>13</xdr:row>
      <xdr:rowOff>0</xdr:rowOff>
    </xdr:from>
    <xdr:to>
      <xdr:col>33</xdr:col>
      <xdr:colOff>0</xdr:colOff>
      <xdr:row>16</xdr:row>
      <xdr:rowOff>0</xdr:rowOff>
    </xdr:to>
    <xdr:sp macro="" textlink="">
      <xdr:nvSpPr>
        <xdr:cNvPr id="107" name="Rectangle 106">
          <a:extLst>
            <a:ext uri="{FF2B5EF4-FFF2-40B4-BE49-F238E27FC236}">
              <a16:creationId xmlns:a16="http://schemas.microsoft.com/office/drawing/2014/main" id="{00000000-0008-0000-0C00-00006B000000}"/>
            </a:ext>
          </a:extLst>
        </xdr:cNvPr>
        <xdr:cNvSpPr/>
      </xdr:nvSpPr>
      <xdr:spPr bwMode="auto">
        <a:xfrm>
          <a:off x="9281160" y="4110990"/>
          <a:ext cx="1280160" cy="948690"/>
        </a:xfrm>
        <a:prstGeom prst="rect">
          <a:avLst/>
        </a:prstGeom>
        <a:solidFill>
          <a:srgbClr val="66FF66">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29</xdr:col>
      <xdr:colOff>0</xdr:colOff>
      <xdr:row>10</xdr:row>
      <xdr:rowOff>0</xdr:rowOff>
    </xdr:from>
    <xdr:to>
      <xdr:col>31</xdr:col>
      <xdr:colOff>0</xdr:colOff>
      <xdr:row>13</xdr:row>
      <xdr:rowOff>0</xdr:rowOff>
    </xdr:to>
    <xdr:sp macro="" textlink="">
      <xdr:nvSpPr>
        <xdr:cNvPr id="108" name="Rectangle 107">
          <a:extLst>
            <a:ext uri="{FF2B5EF4-FFF2-40B4-BE49-F238E27FC236}">
              <a16:creationId xmlns:a16="http://schemas.microsoft.com/office/drawing/2014/main" id="{00000000-0008-0000-0C00-00006C000000}"/>
            </a:ext>
          </a:extLst>
        </xdr:cNvPr>
        <xdr:cNvSpPr/>
      </xdr:nvSpPr>
      <xdr:spPr bwMode="auto">
        <a:xfrm>
          <a:off x="9281160" y="3162300"/>
          <a:ext cx="640080" cy="948690"/>
        </a:xfrm>
        <a:prstGeom prst="rect">
          <a:avLst/>
        </a:prstGeom>
        <a:solidFill>
          <a:srgbClr val="66FF66">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27</xdr:col>
      <xdr:colOff>0</xdr:colOff>
      <xdr:row>10</xdr:row>
      <xdr:rowOff>0</xdr:rowOff>
    </xdr:from>
    <xdr:to>
      <xdr:col>29</xdr:col>
      <xdr:colOff>0</xdr:colOff>
      <xdr:row>12</xdr:row>
      <xdr:rowOff>0</xdr:rowOff>
    </xdr:to>
    <xdr:sp macro="" textlink="">
      <xdr:nvSpPr>
        <xdr:cNvPr id="109" name="Rectangle 108">
          <a:extLst>
            <a:ext uri="{FF2B5EF4-FFF2-40B4-BE49-F238E27FC236}">
              <a16:creationId xmlns:a16="http://schemas.microsoft.com/office/drawing/2014/main" id="{00000000-0008-0000-0C00-00006D000000}"/>
            </a:ext>
          </a:extLst>
        </xdr:cNvPr>
        <xdr:cNvSpPr/>
      </xdr:nvSpPr>
      <xdr:spPr bwMode="auto">
        <a:xfrm>
          <a:off x="8641080" y="3162300"/>
          <a:ext cx="640080" cy="632460"/>
        </a:xfrm>
        <a:prstGeom prst="rect">
          <a:avLst/>
        </a:prstGeom>
        <a:solidFill>
          <a:srgbClr val="66FF66">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35</xdr:col>
      <xdr:colOff>0</xdr:colOff>
      <xdr:row>13</xdr:row>
      <xdr:rowOff>0</xdr:rowOff>
    </xdr:from>
    <xdr:to>
      <xdr:col>36</xdr:col>
      <xdr:colOff>0</xdr:colOff>
      <xdr:row>14</xdr:row>
      <xdr:rowOff>12700</xdr:rowOff>
    </xdr:to>
    <xdr:grpSp>
      <xdr:nvGrpSpPr>
        <xdr:cNvPr id="110" name="Group 109">
          <a:extLst>
            <a:ext uri="{FF2B5EF4-FFF2-40B4-BE49-F238E27FC236}">
              <a16:creationId xmlns:a16="http://schemas.microsoft.com/office/drawing/2014/main" id="{00000000-0008-0000-0C00-00006E000000}"/>
            </a:ext>
          </a:extLst>
        </xdr:cNvPr>
        <xdr:cNvGrpSpPr/>
      </xdr:nvGrpSpPr>
      <xdr:grpSpPr>
        <a:xfrm>
          <a:off x="11201400" y="4110990"/>
          <a:ext cx="320040" cy="328930"/>
          <a:chOff x="6434667" y="6985000"/>
          <a:chExt cx="338667" cy="330200"/>
        </a:xfrm>
      </xdr:grpSpPr>
      <xdr:sp macro="" textlink="">
        <xdr:nvSpPr>
          <xdr:cNvPr id="111" name="Rectangle 110">
            <a:extLst>
              <a:ext uri="{FF2B5EF4-FFF2-40B4-BE49-F238E27FC236}">
                <a16:creationId xmlns:a16="http://schemas.microsoft.com/office/drawing/2014/main" id="{00000000-0008-0000-0C00-00006F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12" name="Rectangle 111">
            <a:extLst>
              <a:ext uri="{FF2B5EF4-FFF2-40B4-BE49-F238E27FC236}">
                <a16:creationId xmlns:a16="http://schemas.microsoft.com/office/drawing/2014/main" id="{00000000-0008-0000-0C00-000070000000}"/>
              </a:ext>
            </a:extLst>
          </xdr:cNvPr>
          <xdr:cNvSpPr/>
        </xdr:nvSpPr>
        <xdr:spPr bwMode="auto">
          <a:xfrm>
            <a:off x="6512560" y="7058660"/>
            <a:ext cx="182880" cy="182880"/>
          </a:xfrm>
          <a:prstGeom prst="rect">
            <a:avLst/>
          </a:prstGeom>
          <a:solidFill>
            <a:srgbClr val="66FF66">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39</xdr:col>
      <xdr:colOff>0</xdr:colOff>
      <xdr:row>41</xdr:row>
      <xdr:rowOff>303530</xdr:rowOff>
    </xdr:from>
    <xdr:to>
      <xdr:col>40</xdr:col>
      <xdr:colOff>0</xdr:colOff>
      <xdr:row>43</xdr:row>
      <xdr:rowOff>0</xdr:rowOff>
    </xdr:to>
    <xdr:sp macro="" textlink="">
      <xdr:nvSpPr>
        <xdr:cNvPr id="113" name="Rectangle 112">
          <a:extLst>
            <a:ext uri="{FF2B5EF4-FFF2-40B4-BE49-F238E27FC236}">
              <a16:creationId xmlns:a16="http://schemas.microsoft.com/office/drawing/2014/main" id="{00000000-0008-0000-0C00-000071000000}"/>
            </a:ext>
          </a:extLst>
        </xdr:cNvPr>
        <xdr:cNvSpPr/>
      </xdr:nvSpPr>
      <xdr:spPr bwMode="auto">
        <a:xfrm>
          <a:off x="12161520" y="6944360"/>
          <a:ext cx="320040" cy="328930"/>
        </a:xfrm>
        <a:prstGeom prst="rect">
          <a:avLst/>
        </a:prstGeom>
        <a:solidFill>
          <a:srgbClr val="FF00FF">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39</xdr:col>
      <xdr:colOff>0</xdr:colOff>
      <xdr:row>43</xdr:row>
      <xdr:rowOff>0</xdr:rowOff>
    </xdr:from>
    <xdr:to>
      <xdr:col>40</xdr:col>
      <xdr:colOff>0</xdr:colOff>
      <xdr:row>44</xdr:row>
      <xdr:rowOff>12700</xdr:rowOff>
    </xdr:to>
    <xdr:sp macro="" textlink="">
      <xdr:nvSpPr>
        <xdr:cNvPr id="114" name="Rectangle 113">
          <a:extLst>
            <a:ext uri="{FF2B5EF4-FFF2-40B4-BE49-F238E27FC236}">
              <a16:creationId xmlns:a16="http://schemas.microsoft.com/office/drawing/2014/main" id="{00000000-0008-0000-0C00-000072000000}"/>
            </a:ext>
          </a:extLst>
        </xdr:cNvPr>
        <xdr:cNvSpPr/>
      </xdr:nvSpPr>
      <xdr:spPr bwMode="auto">
        <a:xfrm>
          <a:off x="12161520" y="7273290"/>
          <a:ext cx="320040" cy="32893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21</xdr:col>
      <xdr:colOff>0</xdr:colOff>
      <xdr:row>42</xdr:row>
      <xdr:rowOff>0</xdr:rowOff>
    </xdr:from>
    <xdr:to>
      <xdr:col>22</xdr:col>
      <xdr:colOff>0</xdr:colOff>
      <xdr:row>43</xdr:row>
      <xdr:rowOff>12700</xdr:rowOff>
    </xdr:to>
    <xdr:sp macro="" textlink="">
      <xdr:nvSpPr>
        <xdr:cNvPr id="115" name="Rectangle 114">
          <a:extLst>
            <a:ext uri="{FF2B5EF4-FFF2-40B4-BE49-F238E27FC236}">
              <a16:creationId xmlns:a16="http://schemas.microsoft.com/office/drawing/2014/main" id="{00000000-0008-0000-0C00-000073000000}"/>
            </a:ext>
          </a:extLst>
        </xdr:cNvPr>
        <xdr:cNvSpPr/>
      </xdr:nvSpPr>
      <xdr:spPr bwMode="auto">
        <a:xfrm>
          <a:off x="6400800" y="6957060"/>
          <a:ext cx="320040" cy="328930"/>
        </a:xfrm>
        <a:prstGeom prst="rect">
          <a:avLst/>
        </a:prstGeom>
        <a:solidFill>
          <a:srgbClr val="00B0F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21</xdr:col>
      <xdr:colOff>0</xdr:colOff>
      <xdr:row>43</xdr:row>
      <xdr:rowOff>0</xdr:rowOff>
    </xdr:from>
    <xdr:to>
      <xdr:col>22</xdr:col>
      <xdr:colOff>0</xdr:colOff>
      <xdr:row>44</xdr:row>
      <xdr:rowOff>12700</xdr:rowOff>
    </xdr:to>
    <xdr:sp macro="" textlink="">
      <xdr:nvSpPr>
        <xdr:cNvPr id="116" name="Rectangle 115">
          <a:extLst>
            <a:ext uri="{FF2B5EF4-FFF2-40B4-BE49-F238E27FC236}">
              <a16:creationId xmlns:a16="http://schemas.microsoft.com/office/drawing/2014/main" id="{00000000-0008-0000-0C00-000074000000}"/>
            </a:ext>
          </a:extLst>
        </xdr:cNvPr>
        <xdr:cNvSpPr/>
      </xdr:nvSpPr>
      <xdr:spPr bwMode="auto">
        <a:xfrm>
          <a:off x="6400800" y="7273290"/>
          <a:ext cx="320040" cy="32893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21</xdr:col>
      <xdr:colOff>0</xdr:colOff>
      <xdr:row>44</xdr:row>
      <xdr:rowOff>0</xdr:rowOff>
    </xdr:from>
    <xdr:to>
      <xdr:col>22</xdr:col>
      <xdr:colOff>0</xdr:colOff>
      <xdr:row>45</xdr:row>
      <xdr:rowOff>12700</xdr:rowOff>
    </xdr:to>
    <xdr:sp macro="" textlink="">
      <xdr:nvSpPr>
        <xdr:cNvPr id="117" name="Rectangle 116">
          <a:extLst>
            <a:ext uri="{FF2B5EF4-FFF2-40B4-BE49-F238E27FC236}">
              <a16:creationId xmlns:a16="http://schemas.microsoft.com/office/drawing/2014/main" id="{00000000-0008-0000-0C00-000075000000}"/>
            </a:ext>
          </a:extLst>
        </xdr:cNvPr>
        <xdr:cNvSpPr/>
      </xdr:nvSpPr>
      <xdr:spPr bwMode="auto">
        <a:xfrm>
          <a:off x="6400800" y="7589520"/>
          <a:ext cx="320040" cy="32893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21</xdr:col>
      <xdr:colOff>0</xdr:colOff>
      <xdr:row>45</xdr:row>
      <xdr:rowOff>0</xdr:rowOff>
    </xdr:from>
    <xdr:to>
      <xdr:col>22</xdr:col>
      <xdr:colOff>0</xdr:colOff>
      <xdr:row>46</xdr:row>
      <xdr:rowOff>12700</xdr:rowOff>
    </xdr:to>
    <xdr:sp macro="" textlink="">
      <xdr:nvSpPr>
        <xdr:cNvPr id="118" name="Rectangle 117">
          <a:extLst>
            <a:ext uri="{FF2B5EF4-FFF2-40B4-BE49-F238E27FC236}">
              <a16:creationId xmlns:a16="http://schemas.microsoft.com/office/drawing/2014/main" id="{00000000-0008-0000-0C00-000076000000}"/>
            </a:ext>
          </a:extLst>
        </xdr:cNvPr>
        <xdr:cNvSpPr/>
      </xdr:nvSpPr>
      <xdr:spPr bwMode="auto">
        <a:xfrm>
          <a:off x="6400800" y="7905750"/>
          <a:ext cx="320040" cy="32893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30</xdr:col>
      <xdr:colOff>0</xdr:colOff>
      <xdr:row>41</xdr:row>
      <xdr:rowOff>303530</xdr:rowOff>
    </xdr:from>
    <xdr:to>
      <xdr:col>31</xdr:col>
      <xdr:colOff>0</xdr:colOff>
      <xdr:row>43</xdr:row>
      <xdr:rowOff>0</xdr:rowOff>
    </xdr:to>
    <xdr:sp macro="" textlink="">
      <xdr:nvSpPr>
        <xdr:cNvPr id="119" name="Rectangle 118">
          <a:extLst>
            <a:ext uri="{FF2B5EF4-FFF2-40B4-BE49-F238E27FC236}">
              <a16:creationId xmlns:a16="http://schemas.microsoft.com/office/drawing/2014/main" id="{00000000-0008-0000-0C00-000077000000}"/>
            </a:ext>
          </a:extLst>
        </xdr:cNvPr>
        <xdr:cNvSpPr/>
      </xdr:nvSpPr>
      <xdr:spPr bwMode="auto">
        <a:xfrm>
          <a:off x="9281160" y="6944360"/>
          <a:ext cx="320040" cy="328930"/>
        </a:xfrm>
        <a:prstGeom prst="rect">
          <a:avLst/>
        </a:prstGeom>
        <a:solidFill>
          <a:srgbClr val="00B0F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30</xdr:col>
      <xdr:colOff>0</xdr:colOff>
      <xdr:row>43</xdr:row>
      <xdr:rowOff>0</xdr:rowOff>
    </xdr:from>
    <xdr:to>
      <xdr:col>31</xdr:col>
      <xdr:colOff>0</xdr:colOff>
      <xdr:row>44</xdr:row>
      <xdr:rowOff>12700</xdr:rowOff>
    </xdr:to>
    <xdr:sp macro="" textlink="">
      <xdr:nvSpPr>
        <xdr:cNvPr id="120" name="Rectangle 119">
          <a:extLst>
            <a:ext uri="{FF2B5EF4-FFF2-40B4-BE49-F238E27FC236}">
              <a16:creationId xmlns:a16="http://schemas.microsoft.com/office/drawing/2014/main" id="{00000000-0008-0000-0C00-000078000000}"/>
            </a:ext>
          </a:extLst>
        </xdr:cNvPr>
        <xdr:cNvSpPr/>
      </xdr:nvSpPr>
      <xdr:spPr bwMode="auto">
        <a:xfrm>
          <a:off x="9281160" y="7273290"/>
          <a:ext cx="320040" cy="32893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30</xdr:col>
      <xdr:colOff>0</xdr:colOff>
      <xdr:row>43</xdr:row>
      <xdr:rowOff>303530</xdr:rowOff>
    </xdr:from>
    <xdr:to>
      <xdr:col>31</xdr:col>
      <xdr:colOff>0</xdr:colOff>
      <xdr:row>45</xdr:row>
      <xdr:rowOff>0</xdr:rowOff>
    </xdr:to>
    <xdr:sp macro="" textlink="">
      <xdr:nvSpPr>
        <xdr:cNvPr id="121" name="Rectangle 120">
          <a:extLst>
            <a:ext uri="{FF2B5EF4-FFF2-40B4-BE49-F238E27FC236}">
              <a16:creationId xmlns:a16="http://schemas.microsoft.com/office/drawing/2014/main" id="{00000000-0008-0000-0C00-000079000000}"/>
            </a:ext>
          </a:extLst>
        </xdr:cNvPr>
        <xdr:cNvSpPr/>
      </xdr:nvSpPr>
      <xdr:spPr bwMode="auto">
        <a:xfrm>
          <a:off x="9281160" y="7576820"/>
          <a:ext cx="320040" cy="32893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30</xdr:col>
      <xdr:colOff>0</xdr:colOff>
      <xdr:row>45</xdr:row>
      <xdr:rowOff>0</xdr:rowOff>
    </xdr:from>
    <xdr:to>
      <xdr:col>31</xdr:col>
      <xdr:colOff>0</xdr:colOff>
      <xdr:row>46</xdr:row>
      <xdr:rowOff>12700</xdr:rowOff>
    </xdr:to>
    <xdr:sp macro="" textlink="">
      <xdr:nvSpPr>
        <xdr:cNvPr id="122" name="Rectangle 121">
          <a:extLst>
            <a:ext uri="{FF2B5EF4-FFF2-40B4-BE49-F238E27FC236}">
              <a16:creationId xmlns:a16="http://schemas.microsoft.com/office/drawing/2014/main" id="{00000000-0008-0000-0C00-00007A000000}"/>
            </a:ext>
          </a:extLst>
        </xdr:cNvPr>
        <xdr:cNvSpPr/>
      </xdr:nvSpPr>
      <xdr:spPr bwMode="auto">
        <a:xfrm>
          <a:off x="9281160" y="7905750"/>
          <a:ext cx="320040" cy="328930"/>
        </a:xfrm>
        <a:prstGeom prst="rect">
          <a:avLst/>
        </a:prstGeom>
        <a:solidFill>
          <a:srgbClr val="66FF66">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7</xdr:col>
      <xdr:colOff>0</xdr:colOff>
      <xdr:row>30</xdr:row>
      <xdr:rowOff>0</xdr:rowOff>
    </xdr:from>
    <xdr:to>
      <xdr:col>11</xdr:col>
      <xdr:colOff>0</xdr:colOff>
      <xdr:row>39</xdr:row>
      <xdr:rowOff>312420</xdr:rowOff>
    </xdr:to>
    <xdr:sp macro="" textlink="">
      <xdr:nvSpPr>
        <xdr:cNvPr id="123" name="Rectangle 122">
          <a:extLst>
            <a:ext uri="{FF2B5EF4-FFF2-40B4-BE49-F238E27FC236}">
              <a16:creationId xmlns:a16="http://schemas.microsoft.com/office/drawing/2014/main" id="{00000000-0008-0000-0C00-00007B000000}"/>
            </a:ext>
          </a:extLst>
        </xdr:cNvPr>
        <xdr:cNvSpPr/>
      </xdr:nvSpPr>
      <xdr:spPr bwMode="auto">
        <a:xfrm>
          <a:off x="2240280" y="9486900"/>
          <a:ext cx="1280160" cy="315849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11</xdr:col>
      <xdr:colOff>0</xdr:colOff>
      <xdr:row>35</xdr:row>
      <xdr:rowOff>0</xdr:rowOff>
    </xdr:from>
    <xdr:to>
      <xdr:col>12</xdr:col>
      <xdr:colOff>0</xdr:colOff>
      <xdr:row>39</xdr:row>
      <xdr:rowOff>308610</xdr:rowOff>
    </xdr:to>
    <xdr:sp macro="" textlink="">
      <xdr:nvSpPr>
        <xdr:cNvPr id="124" name="Rectangle 123">
          <a:extLst>
            <a:ext uri="{FF2B5EF4-FFF2-40B4-BE49-F238E27FC236}">
              <a16:creationId xmlns:a16="http://schemas.microsoft.com/office/drawing/2014/main" id="{00000000-0008-0000-0C00-00007C000000}"/>
            </a:ext>
          </a:extLst>
        </xdr:cNvPr>
        <xdr:cNvSpPr/>
      </xdr:nvSpPr>
      <xdr:spPr bwMode="auto">
        <a:xfrm>
          <a:off x="3520440" y="11068050"/>
          <a:ext cx="320040" cy="157353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23</xdr:col>
      <xdr:colOff>0</xdr:colOff>
      <xdr:row>36</xdr:row>
      <xdr:rowOff>0</xdr:rowOff>
    </xdr:from>
    <xdr:to>
      <xdr:col>29</xdr:col>
      <xdr:colOff>0</xdr:colOff>
      <xdr:row>40</xdr:row>
      <xdr:rowOff>0</xdr:rowOff>
    </xdr:to>
    <xdr:sp macro="" textlink="">
      <xdr:nvSpPr>
        <xdr:cNvPr id="125" name="Rectangle 124">
          <a:extLst>
            <a:ext uri="{FF2B5EF4-FFF2-40B4-BE49-F238E27FC236}">
              <a16:creationId xmlns:a16="http://schemas.microsoft.com/office/drawing/2014/main" id="{00000000-0008-0000-0C00-00007D000000}"/>
            </a:ext>
          </a:extLst>
        </xdr:cNvPr>
        <xdr:cNvSpPr/>
      </xdr:nvSpPr>
      <xdr:spPr bwMode="auto">
        <a:xfrm>
          <a:off x="7360920" y="11384280"/>
          <a:ext cx="1920240" cy="126492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29</xdr:col>
      <xdr:colOff>0</xdr:colOff>
      <xdr:row>36</xdr:row>
      <xdr:rowOff>0</xdr:rowOff>
    </xdr:from>
    <xdr:to>
      <xdr:col>35</xdr:col>
      <xdr:colOff>0</xdr:colOff>
      <xdr:row>40</xdr:row>
      <xdr:rowOff>0</xdr:rowOff>
    </xdr:to>
    <xdr:sp macro="" textlink="">
      <xdr:nvSpPr>
        <xdr:cNvPr id="126" name="Rectangle 125">
          <a:extLst>
            <a:ext uri="{FF2B5EF4-FFF2-40B4-BE49-F238E27FC236}">
              <a16:creationId xmlns:a16="http://schemas.microsoft.com/office/drawing/2014/main" id="{00000000-0008-0000-0C00-00007E000000}"/>
            </a:ext>
          </a:extLst>
        </xdr:cNvPr>
        <xdr:cNvSpPr/>
      </xdr:nvSpPr>
      <xdr:spPr bwMode="auto">
        <a:xfrm>
          <a:off x="9281160" y="11384280"/>
          <a:ext cx="1920240" cy="1264920"/>
        </a:xfrm>
        <a:prstGeom prst="rect">
          <a:avLst/>
        </a:prstGeom>
        <a:solidFill>
          <a:srgbClr val="FF00FF">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12</xdr:col>
      <xdr:colOff>0</xdr:colOff>
      <xdr:row>35</xdr:row>
      <xdr:rowOff>0</xdr:rowOff>
    </xdr:from>
    <xdr:to>
      <xdr:col>16</xdr:col>
      <xdr:colOff>0</xdr:colOff>
      <xdr:row>39</xdr:row>
      <xdr:rowOff>308610</xdr:rowOff>
    </xdr:to>
    <xdr:sp macro="" textlink="">
      <xdr:nvSpPr>
        <xdr:cNvPr id="127" name="Rectangle 126">
          <a:extLst>
            <a:ext uri="{FF2B5EF4-FFF2-40B4-BE49-F238E27FC236}">
              <a16:creationId xmlns:a16="http://schemas.microsoft.com/office/drawing/2014/main" id="{00000000-0008-0000-0C00-00007F000000}"/>
            </a:ext>
          </a:extLst>
        </xdr:cNvPr>
        <xdr:cNvSpPr/>
      </xdr:nvSpPr>
      <xdr:spPr bwMode="auto">
        <a:xfrm>
          <a:off x="3840480" y="11068050"/>
          <a:ext cx="1280160" cy="1573530"/>
        </a:xfrm>
        <a:prstGeom prst="rect">
          <a:avLst/>
        </a:prstGeom>
        <a:solidFill>
          <a:srgbClr val="00B0F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16</xdr:col>
      <xdr:colOff>0</xdr:colOff>
      <xdr:row>37</xdr:row>
      <xdr:rowOff>7620</xdr:rowOff>
    </xdr:from>
    <xdr:to>
      <xdr:col>23</xdr:col>
      <xdr:colOff>0</xdr:colOff>
      <xdr:row>40</xdr:row>
      <xdr:rowOff>0</xdr:rowOff>
    </xdr:to>
    <xdr:sp macro="" textlink="">
      <xdr:nvSpPr>
        <xdr:cNvPr id="128" name="Rectangle 127">
          <a:extLst>
            <a:ext uri="{FF2B5EF4-FFF2-40B4-BE49-F238E27FC236}">
              <a16:creationId xmlns:a16="http://schemas.microsoft.com/office/drawing/2014/main" id="{00000000-0008-0000-0C00-000080000000}"/>
            </a:ext>
          </a:extLst>
        </xdr:cNvPr>
        <xdr:cNvSpPr/>
      </xdr:nvSpPr>
      <xdr:spPr bwMode="auto">
        <a:xfrm>
          <a:off x="5120640" y="11708130"/>
          <a:ext cx="2240280" cy="941070"/>
        </a:xfrm>
        <a:prstGeom prst="rect">
          <a:avLst/>
        </a:prstGeom>
        <a:solidFill>
          <a:srgbClr val="00B0F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11</xdr:col>
      <xdr:colOff>0</xdr:colOff>
      <xdr:row>30</xdr:row>
      <xdr:rowOff>0</xdr:rowOff>
    </xdr:from>
    <xdr:to>
      <xdr:col>18</xdr:col>
      <xdr:colOff>0</xdr:colOff>
      <xdr:row>34</xdr:row>
      <xdr:rowOff>0</xdr:rowOff>
    </xdr:to>
    <xdr:sp macro="" textlink="">
      <xdr:nvSpPr>
        <xdr:cNvPr id="129" name="Rectangle 128">
          <a:extLst>
            <a:ext uri="{FF2B5EF4-FFF2-40B4-BE49-F238E27FC236}">
              <a16:creationId xmlns:a16="http://schemas.microsoft.com/office/drawing/2014/main" id="{00000000-0008-0000-0C00-000081000000}"/>
            </a:ext>
          </a:extLst>
        </xdr:cNvPr>
        <xdr:cNvSpPr/>
      </xdr:nvSpPr>
      <xdr:spPr bwMode="auto">
        <a:xfrm>
          <a:off x="3520440" y="9486900"/>
          <a:ext cx="2240280" cy="126492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18</xdr:col>
      <xdr:colOff>0</xdr:colOff>
      <xdr:row>30</xdr:row>
      <xdr:rowOff>0</xdr:rowOff>
    </xdr:from>
    <xdr:to>
      <xdr:col>23</xdr:col>
      <xdr:colOff>0</xdr:colOff>
      <xdr:row>33</xdr:row>
      <xdr:rowOff>0</xdr:rowOff>
    </xdr:to>
    <xdr:sp macro="" textlink="">
      <xdr:nvSpPr>
        <xdr:cNvPr id="130" name="Rectangle 129">
          <a:extLst>
            <a:ext uri="{FF2B5EF4-FFF2-40B4-BE49-F238E27FC236}">
              <a16:creationId xmlns:a16="http://schemas.microsoft.com/office/drawing/2014/main" id="{00000000-0008-0000-0C00-000082000000}"/>
            </a:ext>
          </a:extLst>
        </xdr:cNvPr>
        <xdr:cNvSpPr/>
      </xdr:nvSpPr>
      <xdr:spPr bwMode="auto">
        <a:xfrm>
          <a:off x="5760720" y="9486900"/>
          <a:ext cx="1600200" cy="94869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23</xdr:col>
      <xdr:colOff>0</xdr:colOff>
      <xdr:row>30</xdr:row>
      <xdr:rowOff>0</xdr:rowOff>
    </xdr:from>
    <xdr:to>
      <xdr:col>25</xdr:col>
      <xdr:colOff>0</xdr:colOff>
      <xdr:row>32</xdr:row>
      <xdr:rowOff>0</xdr:rowOff>
    </xdr:to>
    <xdr:sp macro="" textlink="">
      <xdr:nvSpPr>
        <xdr:cNvPr id="131" name="Rectangle 130">
          <a:extLst>
            <a:ext uri="{FF2B5EF4-FFF2-40B4-BE49-F238E27FC236}">
              <a16:creationId xmlns:a16="http://schemas.microsoft.com/office/drawing/2014/main" id="{00000000-0008-0000-0C00-000083000000}"/>
            </a:ext>
          </a:extLst>
        </xdr:cNvPr>
        <xdr:cNvSpPr/>
      </xdr:nvSpPr>
      <xdr:spPr bwMode="auto">
        <a:xfrm>
          <a:off x="7360920" y="9486900"/>
          <a:ext cx="640080" cy="63246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25</xdr:col>
      <xdr:colOff>0</xdr:colOff>
      <xdr:row>30</xdr:row>
      <xdr:rowOff>0</xdr:rowOff>
    </xdr:from>
    <xdr:to>
      <xdr:col>27</xdr:col>
      <xdr:colOff>0</xdr:colOff>
      <xdr:row>36</xdr:row>
      <xdr:rowOff>0</xdr:rowOff>
    </xdr:to>
    <xdr:sp macro="" textlink="">
      <xdr:nvSpPr>
        <xdr:cNvPr id="132" name="Rectangle 131">
          <a:extLst>
            <a:ext uri="{FF2B5EF4-FFF2-40B4-BE49-F238E27FC236}">
              <a16:creationId xmlns:a16="http://schemas.microsoft.com/office/drawing/2014/main" id="{00000000-0008-0000-0C00-000084000000}"/>
            </a:ext>
          </a:extLst>
        </xdr:cNvPr>
        <xdr:cNvSpPr/>
      </xdr:nvSpPr>
      <xdr:spPr bwMode="auto">
        <a:xfrm>
          <a:off x="8001000" y="9486900"/>
          <a:ext cx="640080" cy="189738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23</xdr:col>
      <xdr:colOff>0</xdr:colOff>
      <xdr:row>32</xdr:row>
      <xdr:rowOff>0</xdr:rowOff>
    </xdr:from>
    <xdr:to>
      <xdr:col>25</xdr:col>
      <xdr:colOff>0</xdr:colOff>
      <xdr:row>36</xdr:row>
      <xdr:rowOff>0</xdr:rowOff>
    </xdr:to>
    <xdr:sp macro="" textlink="">
      <xdr:nvSpPr>
        <xdr:cNvPr id="133" name="Rectangle 132">
          <a:extLst>
            <a:ext uri="{FF2B5EF4-FFF2-40B4-BE49-F238E27FC236}">
              <a16:creationId xmlns:a16="http://schemas.microsoft.com/office/drawing/2014/main" id="{00000000-0008-0000-0C00-000085000000}"/>
            </a:ext>
          </a:extLst>
        </xdr:cNvPr>
        <xdr:cNvSpPr/>
      </xdr:nvSpPr>
      <xdr:spPr bwMode="auto">
        <a:xfrm>
          <a:off x="7360920" y="10119360"/>
          <a:ext cx="640080" cy="126492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18</xdr:col>
      <xdr:colOff>0</xdr:colOff>
      <xdr:row>33</xdr:row>
      <xdr:rowOff>0</xdr:rowOff>
    </xdr:from>
    <xdr:to>
      <xdr:col>23</xdr:col>
      <xdr:colOff>0</xdr:colOff>
      <xdr:row>37</xdr:row>
      <xdr:rowOff>0</xdr:rowOff>
    </xdr:to>
    <xdr:sp macro="" textlink="">
      <xdr:nvSpPr>
        <xdr:cNvPr id="134" name="Rectangle 133">
          <a:extLst>
            <a:ext uri="{FF2B5EF4-FFF2-40B4-BE49-F238E27FC236}">
              <a16:creationId xmlns:a16="http://schemas.microsoft.com/office/drawing/2014/main" id="{00000000-0008-0000-0C00-000086000000}"/>
            </a:ext>
          </a:extLst>
        </xdr:cNvPr>
        <xdr:cNvSpPr/>
      </xdr:nvSpPr>
      <xdr:spPr bwMode="auto">
        <a:xfrm>
          <a:off x="5760720" y="10435590"/>
          <a:ext cx="1600200" cy="126492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16</xdr:col>
      <xdr:colOff>0</xdr:colOff>
      <xdr:row>34</xdr:row>
      <xdr:rowOff>0</xdr:rowOff>
    </xdr:from>
    <xdr:to>
      <xdr:col>18</xdr:col>
      <xdr:colOff>0</xdr:colOff>
      <xdr:row>37</xdr:row>
      <xdr:rowOff>0</xdr:rowOff>
    </xdr:to>
    <xdr:sp macro="" textlink="">
      <xdr:nvSpPr>
        <xdr:cNvPr id="135" name="Rectangle 134">
          <a:extLst>
            <a:ext uri="{FF2B5EF4-FFF2-40B4-BE49-F238E27FC236}">
              <a16:creationId xmlns:a16="http://schemas.microsoft.com/office/drawing/2014/main" id="{00000000-0008-0000-0C00-000087000000}"/>
            </a:ext>
          </a:extLst>
        </xdr:cNvPr>
        <xdr:cNvSpPr/>
      </xdr:nvSpPr>
      <xdr:spPr bwMode="auto">
        <a:xfrm>
          <a:off x="5120640" y="10751820"/>
          <a:ext cx="640080" cy="94869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11</xdr:col>
      <xdr:colOff>0</xdr:colOff>
      <xdr:row>34</xdr:row>
      <xdr:rowOff>0</xdr:rowOff>
    </xdr:from>
    <xdr:to>
      <xdr:col>16</xdr:col>
      <xdr:colOff>0</xdr:colOff>
      <xdr:row>35</xdr:row>
      <xdr:rowOff>0</xdr:rowOff>
    </xdr:to>
    <xdr:sp macro="" textlink="">
      <xdr:nvSpPr>
        <xdr:cNvPr id="136" name="Rectangle 135">
          <a:extLst>
            <a:ext uri="{FF2B5EF4-FFF2-40B4-BE49-F238E27FC236}">
              <a16:creationId xmlns:a16="http://schemas.microsoft.com/office/drawing/2014/main" id="{00000000-0008-0000-0C00-000088000000}"/>
            </a:ext>
          </a:extLst>
        </xdr:cNvPr>
        <xdr:cNvSpPr/>
      </xdr:nvSpPr>
      <xdr:spPr bwMode="auto">
        <a:xfrm>
          <a:off x="3520440" y="10751820"/>
          <a:ext cx="1600200" cy="316230"/>
        </a:xfrm>
        <a:prstGeom prst="rect">
          <a:avLst/>
        </a:prstGeom>
        <a:solidFill>
          <a:schemeClr val="accent4">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27</xdr:col>
      <xdr:colOff>0</xdr:colOff>
      <xdr:row>34</xdr:row>
      <xdr:rowOff>0</xdr:rowOff>
    </xdr:from>
    <xdr:to>
      <xdr:col>34</xdr:col>
      <xdr:colOff>0</xdr:colOff>
      <xdr:row>36</xdr:row>
      <xdr:rowOff>0</xdr:rowOff>
    </xdr:to>
    <xdr:sp macro="" textlink="">
      <xdr:nvSpPr>
        <xdr:cNvPr id="137" name="Rectangle 136">
          <a:extLst>
            <a:ext uri="{FF2B5EF4-FFF2-40B4-BE49-F238E27FC236}">
              <a16:creationId xmlns:a16="http://schemas.microsoft.com/office/drawing/2014/main" id="{00000000-0008-0000-0C00-000089000000}"/>
            </a:ext>
          </a:extLst>
        </xdr:cNvPr>
        <xdr:cNvSpPr/>
      </xdr:nvSpPr>
      <xdr:spPr bwMode="auto">
        <a:xfrm>
          <a:off x="8641080" y="10751820"/>
          <a:ext cx="2240280" cy="632460"/>
        </a:xfrm>
        <a:prstGeom prst="rect">
          <a:avLst/>
        </a:prstGeom>
        <a:solidFill>
          <a:srgbClr val="66FF66">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34</xdr:col>
      <xdr:colOff>0</xdr:colOff>
      <xdr:row>33</xdr:row>
      <xdr:rowOff>0</xdr:rowOff>
    </xdr:from>
    <xdr:to>
      <xdr:col>44</xdr:col>
      <xdr:colOff>0</xdr:colOff>
      <xdr:row>36</xdr:row>
      <xdr:rowOff>0</xdr:rowOff>
    </xdr:to>
    <xdr:sp macro="" textlink="">
      <xdr:nvSpPr>
        <xdr:cNvPr id="138" name="Rectangle 137">
          <a:extLst>
            <a:ext uri="{FF2B5EF4-FFF2-40B4-BE49-F238E27FC236}">
              <a16:creationId xmlns:a16="http://schemas.microsoft.com/office/drawing/2014/main" id="{00000000-0008-0000-0C00-00008A000000}"/>
            </a:ext>
          </a:extLst>
        </xdr:cNvPr>
        <xdr:cNvSpPr/>
      </xdr:nvSpPr>
      <xdr:spPr bwMode="auto">
        <a:xfrm>
          <a:off x="10881360" y="10435590"/>
          <a:ext cx="3200400" cy="948690"/>
        </a:xfrm>
        <a:prstGeom prst="rect">
          <a:avLst/>
        </a:prstGeom>
        <a:solidFill>
          <a:srgbClr val="66FF66">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35</xdr:col>
      <xdr:colOff>0</xdr:colOff>
      <xdr:row>36</xdr:row>
      <xdr:rowOff>0</xdr:rowOff>
    </xdr:from>
    <xdr:to>
      <xdr:col>44</xdr:col>
      <xdr:colOff>0</xdr:colOff>
      <xdr:row>40</xdr:row>
      <xdr:rowOff>0</xdr:rowOff>
    </xdr:to>
    <xdr:sp macro="" textlink="">
      <xdr:nvSpPr>
        <xdr:cNvPr id="139" name="Rectangle 138">
          <a:extLst>
            <a:ext uri="{FF2B5EF4-FFF2-40B4-BE49-F238E27FC236}">
              <a16:creationId xmlns:a16="http://schemas.microsoft.com/office/drawing/2014/main" id="{00000000-0008-0000-0C00-00008B000000}"/>
            </a:ext>
          </a:extLst>
        </xdr:cNvPr>
        <xdr:cNvSpPr/>
      </xdr:nvSpPr>
      <xdr:spPr bwMode="auto">
        <a:xfrm>
          <a:off x="11201400" y="11384280"/>
          <a:ext cx="2880360" cy="1264920"/>
        </a:xfrm>
        <a:prstGeom prst="rect">
          <a:avLst/>
        </a:prstGeom>
        <a:solidFill>
          <a:srgbClr val="00B0F0">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44</xdr:col>
      <xdr:colOff>0</xdr:colOff>
      <xdr:row>30</xdr:row>
      <xdr:rowOff>0</xdr:rowOff>
    </xdr:from>
    <xdr:to>
      <xdr:col>47</xdr:col>
      <xdr:colOff>0</xdr:colOff>
      <xdr:row>40</xdr:row>
      <xdr:rowOff>0</xdr:rowOff>
    </xdr:to>
    <xdr:sp macro="" textlink="">
      <xdr:nvSpPr>
        <xdr:cNvPr id="140" name="Rectangle 139">
          <a:extLst>
            <a:ext uri="{FF2B5EF4-FFF2-40B4-BE49-F238E27FC236}">
              <a16:creationId xmlns:a16="http://schemas.microsoft.com/office/drawing/2014/main" id="{00000000-0008-0000-0C00-00008C000000}"/>
            </a:ext>
          </a:extLst>
        </xdr:cNvPr>
        <xdr:cNvSpPr/>
      </xdr:nvSpPr>
      <xdr:spPr bwMode="auto">
        <a:xfrm>
          <a:off x="14081760" y="9486900"/>
          <a:ext cx="960120" cy="3162300"/>
        </a:xfrm>
        <a:prstGeom prst="rect">
          <a:avLst/>
        </a:prstGeom>
        <a:solidFill>
          <a:schemeClr val="accent5">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29</xdr:col>
      <xdr:colOff>0</xdr:colOff>
      <xdr:row>23</xdr:row>
      <xdr:rowOff>303530</xdr:rowOff>
    </xdr:from>
    <xdr:to>
      <xdr:col>36</xdr:col>
      <xdr:colOff>0</xdr:colOff>
      <xdr:row>25</xdr:row>
      <xdr:rowOff>303530</xdr:rowOff>
    </xdr:to>
    <xdr:sp macro="" textlink="">
      <xdr:nvSpPr>
        <xdr:cNvPr id="141" name="Rectangle 140">
          <a:extLst>
            <a:ext uri="{FF2B5EF4-FFF2-40B4-BE49-F238E27FC236}">
              <a16:creationId xmlns:a16="http://schemas.microsoft.com/office/drawing/2014/main" id="{00000000-0008-0000-0C00-00008D000000}"/>
            </a:ext>
          </a:extLst>
        </xdr:cNvPr>
        <xdr:cNvSpPr/>
      </xdr:nvSpPr>
      <xdr:spPr bwMode="auto">
        <a:xfrm>
          <a:off x="9281160" y="7576820"/>
          <a:ext cx="2240280" cy="632460"/>
        </a:xfrm>
        <a:prstGeom prst="rect">
          <a:avLst/>
        </a:prstGeom>
        <a:solidFill>
          <a:srgbClr val="66FF66">
            <a:alpha val="24706"/>
          </a:srgb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34</xdr:col>
      <xdr:colOff>0</xdr:colOff>
      <xdr:row>30</xdr:row>
      <xdr:rowOff>0</xdr:rowOff>
    </xdr:from>
    <xdr:to>
      <xdr:col>44</xdr:col>
      <xdr:colOff>0</xdr:colOff>
      <xdr:row>33</xdr:row>
      <xdr:rowOff>0</xdr:rowOff>
    </xdr:to>
    <xdr:sp macro="" textlink="">
      <xdr:nvSpPr>
        <xdr:cNvPr id="142" name="Rectangle 141">
          <a:extLst>
            <a:ext uri="{FF2B5EF4-FFF2-40B4-BE49-F238E27FC236}">
              <a16:creationId xmlns:a16="http://schemas.microsoft.com/office/drawing/2014/main" id="{00000000-0008-0000-0C00-00008E000000}"/>
            </a:ext>
          </a:extLst>
        </xdr:cNvPr>
        <xdr:cNvSpPr/>
      </xdr:nvSpPr>
      <xdr:spPr bwMode="auto">
        <a:xfrm>
          <a:off x="10881360" y="9486900"/>
          <a:ext cx="3200400" cy="94869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31</xdr:col>
      <xdr:colOff>0</xdr:colOff>
      <xdr:row>30</xdr:row>
      <xdr:rowOff>0</xdr:rowOff>
    </xdr:from>
    <xdr:to>
      <xdr:col>34</xdr:col>
      <xdr:colOff>0</xdr:colOff>
      <xdr:row>34</xdr:row>
      <xdr:rowOff>0</xdr:rowOff>
    </xdr:to>
    <xdr:sp macro="" textlink="">
      <xdr:nvSpPr>
        <xdr:cNvPr id="143" name="Rectangle 142">
          <a:extLst>
            <a:ext uri="{FF2B5EF4-FFF2-40B4-BE49-F238E27FC236}">
              <a16:creationId xmlns:a16="http://schemas.microsoft.com/office/drawing/2014/main" id="{00000000-0008-0000-0C00-00008F000000}"/>
            </a:ext>
          </a:extLst>
        </xdr:cNvPr>
        <xdr:cNvSpPr/>
      </xdr:nvSpPr>
      <xdr:spPr bwMode="auto">
        <a:xfrm>
          <a:off x="9921240" y="9486900"/>
          <a:ext cx="960120" cy="1264920"/>
        </a:xfrm>
        <a:prstGeom prst="rect">
          <a:avLst/>
        </a:prstGeom>
        <a:solidFill>
          <a:schemeClr val="accent6">
            <a:alpha val="24706"/>
          </a:schemeClr>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marL="0" indent="0" algn="l"/>
          <a:endParaRPr lang="en-US" sz="1100">
            <a:latin typeface="+mn-lt"/>
            <a:ea typeface="+mn-ea"/>
            <a:cs typeface="+mn-cs"/>
          </a:endParaRPr>
        </a:p>
      </xdr:txBody>
    </xdr:sp>
    <xdr:clientData/>
  </xdr:twoCellAnchor>
  <xdr:twoCellAnchor>
    <xdr:from>
      <xdr:col>9</xdr:col>
      <xdr:colOff>0</xdr:colOff>
      <xdr:row>34</xdr:row>
      <xdr:rowOff>303530</xdr:rowOff>
    </xdr:from>
    <xdr:to>
      <xdr:col>10</xdr:col>
      <xdr:colOff>0</xdr:colOff>
      <xdr:row>36</xdr:row>
      <xdr:rowOff>0</xdr:rowOff>
    </xdr:to>
    <xdr:grpSp>
      <xdr:nvGrpSpPr>
        <xdr:cNvPr id="147" name="Group 146">
          <a:extLst>
            <a:ext uri="{FF2B5EF4-FFF2-40B4-BE49-F238E27FC236}">
              <a16:creationId xmlns:a16="http://schemas.microsoft.com/office/drawing/2014/main" id="{00000000-0008-0000-0C00-000093000000}"/>
            </a:ext>
          </a:extLst>
        </xdr:cNvPr>
        <xdr:cNvGrpSpPr/>
      </xdr:nvGrpSpPr>
      <xdr:grpSpPr>
        <a:xfrm>
          <a:off x="2880360" y="11055350"/>
          <a:ext cx="320040" cy="328930"/>
          <a:chOff x="6434667" y="6985000"/>
          <a:chExt cx="338667" cy="330200"/>
        </a:xfrm>
      </xdr:grpSpPr>
      <xdr:sp macro="" textlink="">
        <xdr:nvSpPr>
          <xdr:cNvPr id="148" name="Rectangle 147">
            <a:extLst>
              <a:ext uri="{FF2B5EF4-FFF2-40B4-BE49-F238E27FC236}">
                <a16:creationId xmlns:a16="http://schemas.microsoft.com/office/drawing/2014/main" id="{00000000-0008-0000-0C00-000094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49" name="Rectangle 148">
            <a:extLst>
              <a:ext uri="{FF2B5EF4-FFF2-40B4-BE49-F238E27FC236}">
                <a16:creationId xmlns:a16="http://schemas.microsoft.com/office/drawing/2014/main" id="{00000000-0008-0000-0C00-000095000000}"/>
              </a:ext>
            </a:extLst>
          </xdr:cNvPr>
          <xdr:cNvSpPr/>
        </xdr:nvSpPr>
        <xdr:spPr bwMode="auto">
          <a:xfrm>
            <a:off x="6512560" y="7058660"/>
            <a:ext cx="182880" cy="182880"/>
          </a:xfrm>
          <a:prstGeom prst="rect">
            <a:avLst/>
          </a:prstGeom>
          <a:solidFill>
            <a:schemeClr val="accent5">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44</xdr:col>
      <xdr:colOff>0</xdr:colOff>
      <xdr:row>34</xdr:row>
      <xdr:rowOff>0</xdr:rowOff>
    </xdr:from>
    <xdr:to>
      <xdr:col>45</xdr:col>
      <xdr:colOff>0</xdr:colOff>
      <xdr:row>35</xdr:row>
      <xdr:rowOff>12700</xdr:rowOff>
    </xdr:to>
    <xdr:grpSp>
      <xdr:nvGrpSpPr>
        <xdr:cNvPr id="150" name="Group 149">
          <a:extLst>
            <a:ext uri="{FF2B5EF4-FFF2-40B4-BE49-F238E27FC236}">
              <a16:creationId xmlns:a16="http://schemas.microsoft.com/office/drawing/2014/main" id="{00000000-0008-0000-0C00-000096000000}"/>
            </a:ext>
          </a:extLst>
        </xdr:cNvPr>
        <xdr:cNvGrpSpPr/>
      </xdr:nvGrpSpPr>
      <xdr:grpSpPr>
        <a:xfrm>
          <a:off x="14081760" y="10751820"/>
          <a:ext cx="320040" cy="328930"/>
          <a:chOff x="6434667" y="6985000"/>
          <a:chExt cx="338667" cy="330200"/>
        </a:xfrm>
      </xdr:grpSpPr>
      <xdr:sp macro="" textlink="">
        <xdr:nvSpPr>
          <xdr:cNvPr id="151" name="Rectangle 150">
            <a:extLst>
              <a:ext uri="{FF2B5EF4-FFF2-40B4-BE49-F238E27FC236}">
                <a16:creationId xmlns:a16="http://schemas.microsoft.com/office/drawing/2014/main" id="{00000000-0008-0000-0C00-000097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52" name="Rectangle 151">
            <a:extLst>
              <a:ext uri="{FF2B5EF4-FFF2-40B4-BE49-F238E27FC236}">
                <a16:creationId xmlns:a16="http://schemas.microsoft.com/office/drawing/2014/main" id="{00000000-0008-0000-0C00-000098000000}"/>
              </a:ext>
            </a:extLst>
          </xdr:cNvPr>
          <xdr:cNvSpPr/>
        </xdr:nvSpPr>
        <xdr:spPr bwMode="auto">
          <a:xfrm>
            <a:off x="6512560" y="7058660"/>
            <a:ext cx="182880" cy="182880"/>
          </a:xfrm>
          <a:prstGeom prst="rect">
            <a:avLst/>
          </a:prstGeom>
          <a:solidFill>
            <a:schemeClr val="accent5">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15</xdr:col>
      <xdr:colOff>0</xdr:colOff>
      <xdr:row>36</xdr:row>
      <xdr:rowOff>0</xdr:rowOff>
    </xdr:from>
    <xdr:to>
      <xdr:col>16</xdr:col>
      <xdr:colOff>0</xdr:colOff>
      <xdr:row>37</xdr:row>
      <xdr:rowOff>12700</xdr:rowOff>
    </xdr:to>
    <xdr:grpSp>
      <xdr:nvGrpSpPr>
        <xdr:cNvPr id="153" name="Group 152">
          <a:extLst>
            <a:ext uri="{FF2B5EF4-FFF2-40B4-BE49-F238E27FC236}">
              <a16:creationId xmlns:a16="http://schemas.microsoft.com/office/drawing/2014/main" id="{00000000-0008-0000-0C00-000099000000}"/>
            </a:ext>
          </a:extLst>
        </xdr:cNvPr>
        <xdr:cNvGrpSpPr/>
      </xdr:nvGrpSpPr>
      <xdr:grpSpPr>
        <a:xfrm>
          <a:off x="4800600" y="11384280"/>
          <a:ext cx="320040" cy="328930"/>
          <a:chOff x="6434667" y="6985000"/>
          <a:chExt cx="338667" cy="330200"/>
        </a:xfrm>
      </xdr:grpSpPr>
      <xdr:sp macro="" textlink="">
        <xdr:nvSpPr>
          <xdr:cNvPr id="154" name="Rectangle 153">
            <a:extLst>
              <a:ext uri="{FF2B5EF4-FFF2-40B4-BE49-F238E27FC236}">
                <a16:creationId xmlns:a16="http://schemas.microsoft.com/office/drawing/2014/main" id="{00000000-0008-0000-0C00-00009A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55" name="Rectangle 154">
            <a:extLst>
              <a:ext uri="{FF2B5EF4-FFF2-40B4-BE49-F238E27FC236}">
                <a16:creationId xmlns:a16="http://schemas.microsoft.com/office/drawing/2014/main" id="{00000000-0008-0000-0C00-00009B000000}"/>
              </a:ext>
            </a:extLst>
          </xdr:cNvPr>
          <xdr:cNvSpPr/>
        </xdr:nvSpPr>
        <xdr:spPr bwMode="auto">
          <a:xfrm>
            <a:off x="6512560" y="7058660"/>
            <a:ext cx="182880" cy="182880"/>
          </a:xfrm>
          <a:prstGeom prst="rect">
            <a:avLst/>
          </a:prstGeom>
          <a:solidFill>
            <a:srgbClr val="00B0F0">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40</xdr:col>
      <xdr:colOff>0</xdr:colOff>
      <xdr:row>36</xdr:row>
      <xdr:rowOff>0</xdr:rowOff>
    </xdr:from>
    <xdr:to>
      <xdr:col>41</xdr:col>
      <xdr:colOff>0</xdr:colOff>
      <xdr:row>37</xdr:row>
      <xdr:rowOff>12700</xdr:rowOff>
    </xdr:to>
    <xdr:grpSp>
      <xdr:nvGrpSpPr>
        <xdr:cNvPr id="156" name="Group 155">
          <a:extLst>
            <a:ext uri="{FF2B5EF4-FFF2-40B4-BE49-F238E27FC236}">
              <a16:creationId xmlns:a16="http://schemas.microsoft.com/office/drawing/2014/main" id="{00000000-0008-0000-0C00-00009C000000}"/>
            </a:ext>
          </a:extLst>
        </xdr:cNvPr>
        <xdr:cNvGrpSpPr/>
      </xdr:nvGrpSpPr>
      <xdr:grpSpPr>
        <a:xfrm>
          <a:off x="12801600" y="11384280"/>
          <a:ext cx="320040" cy="328930"/>
          <a:chOff x="6434667" y="6985000"/>
          <a:chExt cx="338667" cy="330200"/>
        </a:xfrm>
      </xdr:grpSpPr>
      <xdr:sp macro="" textlink="">
        <xdr:nvSpPr>
          <xdr:cNvPr id="157" name="Rectangle 156">
            <a:extLst>
              <a:ext uri="{FF2B5EF4-FFF2-40B4-BE49-F238E27FC236}">
                <a16:creationId xmlns:a16="http://schemas.microsoft.com/office/drawing/2014/main" id="{00000000-0008-0000-0C00-00009D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58" name="Rectangle 157">
            <a:extLst>
              <a:ext uri="{FF2B5EF4-FFF2-40B4-BE49-F238E27FC236}">
                <a16:creationId xmlns:a16="http://schemas.microsoft.com/office/drawing/2014/main" id="{00000000-0008-0000-0C00-00009E000000}"/>
              </a:ext>
            </a:extLst>
          </xdr:cNvPr>
          <xdr:cNvSpPr/>
        </xdr:nvSpPr>
        <xdr:spPr bwMode="auto">
          <a:xfrm>
            <a:off x="6512560" y="7058660"/>
            <a:ext cx="182880" cy="182880"/>
          </a:xfrm>
          <a:prstGeom prst="rect">
            <a:avLst/>
          </a:prstGeom>
          <a:solidFill>
            <a:srgbClr val="00B0F0">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26</xdr:col>
      <xdr:colOff>0</xdr:colOff>
      <xdr:row>36</xdr:row>
      <xdr:rowOff>0</xdr:rowOff>
    </xdr:from>
    <xdr:to>
      <xdr:col>27</xdr:col>
      <xdr:colOff>0</xdr:colOff>
      <xdr:row>37</xdr:row>
      <xdr:rowOff>12700</xdr:rowOff>
    </xdr:to>
    <xdr:grpSp>
      <xdr:nvGrpSpPr>
        <xdr:cNvPr id="159" name="Group 158">
          <a:extLst>
            <a:ext uri="{FF2B5EF4-FFF2-40B4-BE49-F238E27FC236}">
              <a16:creationId xmlns:a16="http://schemas.microsoft.com/office/drawing/2014/main" id="{00000000-0008-0000-0C00-00009F000000}"/>
            </a:ext>
          </a:extLst>
        </xdr:cNvPr>
        <xdr:cNvGrpSpPr/>
      </xdr:nvGrpSpPr>
      <xdr:grpSpPr>
        <a:xfrm>
          <a:off x="8321040" y="11384280"/>
          <a:ext cx="320040" cy="328930"/>
          <a:chOff x="6434667" y="6985000"/>
          <a:chExt cx="338667" cy="330200"/>
        </a:xfrm>
      </xdr:grpSpPr>
      <xdr:sp macro="" textlink="">
        <xdr:nvSpPr>
          <xdr:cNvPr id="160" name="Rectangle 159">
            <a:extLst>
              <a:ext uri="{FF2B5EF4-FFF2-40B4-BE49-F238E27FC236}">
                <a16:creationId xmlns:a16="http://schemas.microsoft.com/office/drawing/2014/main" id="{00000000-0008-0000-0C00-0000A0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61" name="Rectangle 160">
            <a:extLst>
              <a:ext uri="{FF2B5EF4-FFF2-40B4-BE49-F238E27FC236}">
                <a16:creationId xmlns:a16="http://schemas.microsoft.com/office/drawing/2014/main" id="{00000000-0008-0000-0C00-0000A1000000}"/>
              </a:ext>
            </a:extLst>
          </xdr:cNvPr>
          <xdr:cNvSpPr/>
        </xdr:nvSpPr>
        <xdr:spPr bwMode="auto">
          <a:xfrm>
            <a:off x="6512560" y="7058660"/>
            <a:ext cx="182880" cy="182880"/>
          </a:xfrm>
          <a:prstGeom prst="rect">
            <a:avLst/>
          </a:prstGeom>
          <a:solidFill>
            <a:schemeClr val="accent5">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11</xdr:col>
      <xdr:colOff>0</xdr:colOff>
      <xdr:row>32</xdr:row>
      <xdr:rowOff>303530</xdr:rowOff>
    </xdr:from>
    <xdr:to>
      <xdr:col>12</xdr:col>
      <xdr:colOff>0</xdr:colOff>
      <xdr:row>34</xdr:row>
      <xdr:rowOff>0</xdr:rowOff>
    </xdr:to>
    <xdr:grpSp>
      <xdr:nvGrpSpPr>
        <xdr:cNvPr id="162" name="Group 161">
          <a:extLst>
            <a:ext uri="{FF2B5EF4-FFF2-40B4-BE49-F238E27FC236}">
              <a16:creationId xmlns:a16="http://schemas.microsoft.com/office/drawing/2014/main" id="{00000000-0008-0000-0C00-0000A2000000}"/>
            </a:ext>
          </a:extLst>
        </xdr:cNvPr>
        <xdr:cNvGrpSpPr/>
      </xdr:nvGrpSpPr>
      <xdr:grpSpPr>
        <a:xfrm>
          <a:off x="3520440" y="10422890"/>
          <a:ext cx="320040" cy="328930"/>
          <a:chOff x="6434667" y="6985000"/>
          <a:chExt cx="338667" cy="330200"/>
        </a:xfrm>
      </xdr:grpSpPr>
      <xdr:sp macro="" textlink="">
        <xdr:nvSpPr>
          <xdr:cNvPr id="163" name="Rectangle 162">
            <a:extLst>
              <a:ext uri="{FF2B5EF4-FFF2-40B4-BE49-F238E27FC236}">
                <a16:creationId xmlns:a16="http://schemas.microsoft.com/office/drawing/2014/main" id="{00000000-0008-0000-0C00-0000A3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64" name="Rectangle 163">
            <a:extLst>
              <a:ext uri="{FF2B5EF4-FFF2-40B4-BE49-F238E27FC236}">
                <a16:creationId xmlns:a16="http://schemas.microsoft.com/office/drawing/2014/main" id="{00000000-0008-0000-0C00-0000A4000000}"/>
              </a:ext>
            </a:extLst>
          </xdr:cNvPr>
          <xdr:cNvSpPr/>
        </xdr:nvSpPr>
        <xdr:spPr bwMode="auto">
          <a:xfrm>
            <a:off x="6512560" y="7058660"/>
            <a:ext cx="182880" cy="182880"/>
          </a:xfrm>
          <a:prstGeom prst="rect">
            <a:avLst/>
          </a:prstGeom>
          <a:solidFill>
            <a:schemeClr val="accent6">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43</xdr:col>
      <xdr:colOff>0</xdr:colOff>
      <xdr:row>30</xdr:row>
      <xdr:rowOff>0</xdr:rowOff>
    </xdr:from>
    <xdr:to>
      <xdr:col>44</xdr:col>
      <xdr:colOff>0</xdr:colOff>
      <xdr:row>31</xdr:row>
      <xdr:rowOff>12700</xdr:rowOff>
    </xdr:to>
    <xdr:grpSp>
      <xdr:nvGrpSpPr>
        <xdr:cNvPr id="165" name="Group 164">
          <a:extLst>
            <a:ext uri="{FF2B5EF4-FFF2-40B4-BE49-F238E27FC236}">
              <a16:creationId xmlns:a16="http://schemas.microsoft.com/office/drawing/2014/main" id="{00000000-0008-0000-0C00-0000A5000000}"/>
            </a:ext>
          </a:extLst>
        </xdr:cNvPr>
        <xdr:cNvGrpSpPr/>
      </xdr:nvGrpSpPr>
      <xdr:grpSpPr>
        <a:xfrm>
          <a:off x="13761720" y="9486900"/>
          <a:ext cx="320040" cy="328930"/>
          <a:chOff x="6434667" y="6985000"/>
          <a:chExt cx="338667" cy="330200"/>
        </a:xfrm>
      </xdr:grpSpPr>
      <xdr:sp macro="" textlink="">
        <xdr:nvSpPr>
          <xdr:cNvPr id="166" name="Rectangle 165">
            <a:extLst>
              <a:ext uri="{FF2B5EF4-FFF2-40B4-BE49-F238E27FC236}">
                <a16:creationId xmlns:a16="http://schemas.microsoft.com/office/drawing/2014/main" id="{00000000-0008-0000-0C00-0000A6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67" name="Rectangle 166">
            <a:extLst>
              <a:ext uri="{FF2B5EF4-FFF2-40B4-BE49-F238E27FC236}">
                <a16:creationId xmlns:a16="http://schemas.microsoft.com/office/drawing/2014/main" id="{00000000-0008-0000-0C00-0000A7000000}"/>
              </a:ext>
            </a:extLst>
          </xdr:cNvPr>
          <xdr:cNvSpPr/>
        </xdr:nvSpPr>
        <xdr:spPr bwMode="auto">
          <a:xfrm>
            <a:off x="6512560" y="7058660"/>
            <a:ext cx="182880" cy="182880"/>
          </a:xfrm>
          <a:prstGeom prst="rect">
            <a:avLst/>
          </a:prstGeom>
          <a:solidFill>
            <a:schemeClr val="accent6">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34</xdr:col>
      <xdr:colOff>0</xdr:colOff>
      <xdr:row>32</xdr:row>
      <xdr:rowOff>303530</xdr:rowOff>
    </xdr:from>
    <xdr:to>
      <xdr:col>35</xdr:col>
      <xdr:colOff>0</xdr:colOff>
      <xdr:row>34</xdr:row>
      <xdr:rowOff>0</xdr:rowOff>
    </xdr:to>
    <xdr:grpSp>
      <xdr:nvGrpSpPr>
        <xdr:cNvPr id="168" name="Group 167">
          <a:extLst>
            <a:ext uri="{FF2B5EF4-FFF2-40B4-BE49-F238E27FC236}">
              <a16:creationId xmlns:a16="http://schemas.microsoft.com/office/drawing/2014/main" id="{00000000-0008-0000-0C00-0000A8000000}"/>
            </a:ext>
          </a:extLst>
        </xdr:cNvPr>
        <xdr:cNvGrpSpPr/>
      </xdr:nvGrpSpPr>
      <xdr:grpSpPr>
        <a:xfrm>
          <a:off x="10881360" y="10422890"/>
          <a:ext cx="320040" cy="328930"/>
          <a:chOff x="6434667" y="6985000"/>
          <a:chExt cx="338667" cy="330200"/>
        </a:xfrm>
      </xdr:grpSpPr>
      <xdr:sp macro="" textlink="">
        <xdr:nvSpPr>
          <xdr:cNvPr id="169" name="Rectangle 168">
            <a:extLst>
              <a:ext uri="{FF2B5EF4-FFF2-40B4-BE49-F238E27FC236}">
                <a16:creationId xmlns:a16="http://schemas.microsoft.com/office/drawing/2014/main" id="{00000000-0008-0000-0C00-0000A9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70" name="Rectangle 169">
            <a:extLst>
              <a:ext uri="{FF2B5EF4-FFF2-40B4-BE49-F238E27FC236}">
                <a16:creationId xmlns:a16="http://schemas.microsoft.com/office/drawing/2014/main" id="{00000000-0008-0000-0C00-0000AA000000}"/>
              </a:ext>
            </a:extLst>
          </xdr:cNvPr>
          <xdr:cNvSpPr/>
        </xdr:nvSpPr>
        <xdr:spPr bwMode="auto">
          <a:xfrm>
            <a:off x="6512560" y="7058660"/>
            <a:ext cx="182880" cy="182880"/>
          </a:xfrm>
          <a:prstGeom prst="rect">
            <a:avLst/>
          </a:prstGeom>
          <a:solidFill>
            <a:srgbClr val="66FF66">
              <a:alpha val="25000"/>
            </a:srgb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twoCellAnchor>
    <xdr:from>
      <xdr:col>26</xdr:col>
      <xdr:colOff>0</xdr:colOff>
      <xdr:row>33</xdr:row>
      <xdr:rowOff>0</xdr:rowOff>
    </xdr:from>
    <xdr:to>
      <xdr:col>27</xdr:col>
      <xdr:colOff>0</xdr:colOff>
      <xdr:row>34</xdr:row>
      <xdr:rowOff>12700</xdr:rowOff>
    </xdr:to>
    <xdr:grpSp>
      <xdr:nvGrpSpPr>
        <xdr:cNvPr id="171" name="Group 170">
          <a:extLst>
            <a:ext uri="{FF2B5EF4-FFF2-40B4-BE49-F238E27FC236}">
              <a16:creationId xmlns:a16="http://schemas.microsoft.com/office/drawing/2014/main" id="{00000000-0008-0000-0C00-0000AB000000}"/>
            </a:ext>
          </a:extLst>
        </xdr:cNvPr>
        <xdr:cNvGrpSpPr/>
      </xdr:nvGrpSpPr>
      <xdr:grpSpPr>
        <a:xfrm>
          <a:off x="8321040" y="10435590"/>
          <a:ext cx="320040" cy="328930"/>
          <a:chOff x="6434667" y="6985000"/>
          <a:chExt cx="338667" cy="330200"/>
        </a:xfrm>
      </xdr:grpSpPr>
      <xdr:sp macro="" textlink="">
        <xdr:nvSpPr>
          <xdr:cNvPr id="172" name="Rectangle 171">
            <a:extLst>
              <a:ext uri="{FF2B5EF4-FFF2-40B4-BE49-F238E27FC236}">
                <a16:creationId xmlns:a16="http://schemas.microsoft.com/office/drawing/2014/main" id="{00000000-0008-0000-0C00-0000AC000000}"/>
              </a:ext>
            </a:extLst>
          </xdr:cNvPr>
          <xdr:cNvSpPr/>
        </xdr:nvSpPr>
        <xdr:spPr bwMode="auto">
          <a:xfrm>
            <a:off x="6434667" y="6985000"/>
            <a:ext cx="338667" cy="330200"/>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lang="en-US" sz="1100"/>
          </a:p>
        </xdr:txBody>
      </xdr:sp>
      <xdr:sp macro="" textlink="">
        <xdr:nvSpPr>
          <xdr:cNvPr id="173" name="Rectangle 172">
            <a:extLst>
              <a:ext uri="{FF2B5EF4-FFF2-40B4-BE49-F238E27FC236}">
                <a16:creationId xmlns:a16="http://schemas.microsoft.com/office/drawing/2014/main" id="{00000000-0008-0000-0C00-0000AD000000}"/>
              </a:ext>
            </a:extLst>
          </xdr:cNvPr>
          <xdr:cNvSpPr/>
        </xdr:nvSpPr>
        <xdr:spPr bwMode="auto">
          <a:xfrm>
            <a:off x="6512560" y="7058660"/>
            <a:ext cx="182880" cy="182880"/>
          </a:xfrm>
          <a:prstGeom prst="rect">
            <a:avLst/>
          </a:prstGeom>
          <a:solidFill>
            <a:schemeClr val="accent4">
              <a:alpha val="25000"/>
            </a:schemeClr>
          </a:solidFill>
          <a:ln w="19050" cap="flat" cmpd="sng" algn="ctr">
            <a:solidFill>
              <a:schemeClr val="tx1"/>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lang="en-US" sz="800" b="1">
                <a:latin typeface="Comic Sans MS" panose="030F0702030302020204" pitchFamily="66" charset="0"/>
              </a:rPr>
              <a:t>T</a:t>
            </a:r>
          </a:p>
        </xdr:txBody>
      </xdr:sp>
    </xdr:grpSp>
    <xdr:clientData/>
  </xdr:twoCellAnchor>
</xdr:wsDr>
</file>

<file path=xl/drawings/drawing12.xml><?xml version="1.0" encoding="utf-8"?>
<xdr:wsDr xmlns:xdr="http://schemas.openxmlformats.org/drawingml/2006/spreadsheetDrawing" xmlns:a="http://schemas.openxmlformats.org/drawingml/2006/main">
  <xdr:absoluteAnchor>
    <xdr:pos x="0" y="0"/>
    <xdr:ext cx="8662012" cy="6288795"/>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62012" cy="6288795"/>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809999" cy="1777809"/>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809999" cy="177780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4</xdr:col>
          <xdr:colOff>30480</xdr:colOff>
          <xdr:row>26</xdr:row>
          <xdr:rowOff>163830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2</xdr:col>
          <xdr:colOff>1287780</xdr:colOff>
          <xdr:row>30</xdr:row>
          <xdr:rowOff>144780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7</xdr:col>
          <xdr:colOff>762000</xdr:colOff>
          <xdr:row>51</xdr:row>
          <xdr:rowOff>182880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11430</xdr:rowOff>
        </xdr:from>
        <xdr:to>
          <xdr:col>10</xdr:col>
          <xdr:colOff>87630</xdr:colOff>
          <xdr:row>64</xdr:row>
          <xdr:rowOff>19050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8</xdr:col>
          <xdr:colOff>895350</xdr:colOff>
          <xdr:row>76</xdr:row>
          <xdr:rowOff>152400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582930</xdr:colOff>
          <xdr:row>34</xdr:row>
          <xdr:rowOff>182880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11430</xdr:rowOff>
        </xdr:from>
        <xdr:to>
          <xdr:col>10</xdr:col>
          <xdr:colOff>87630</xdr:colOff>
          <xdr:row>73</xdr:row>
          <xdr:rowOff>19050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582930</xdr:colOff>
          <xdr:row>42</xdr:row>
          <xdr:rowOff>182880</xdr:rowOff>
        </xdr:to>
        <xdr:sp macro="" textlink="">
          <xdr:nvSpPr>
            <xdr:cNvPr id="2056" name="Object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259080</xdr:colOff>
          <xdr:row>25</xdr:row>
          <xdr:rowOff>19050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12</xdr:col>
      <xdr:colOff>0</xdr:colOff>
      <xdr:row>0</xdr:row>
      <xdr:rowOff>0</xdr:rowOff>
    </xdr:from>
    <xdr:to>
      <xdr:col>21</xdr:col>
      <xdr:colOff>77194</xdr:colOff>
      <xdr:row>37</xdr:row>
      <xdr:rowOff>156216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3030200" y="0"/>
          <a:ext cx="7620994" cy="10071741"/>
        </a:xfrm>
        <a:prstGeom prst="rect">
          <a:avLst/>
        </a:prstGeom>
      </xdr:spPr>
    </xdr:pic>
    <xdr:clientData/>
  </xdr:twoCellAnchor>
  <xdr:twoCellAnchor>
    <xdr:from>
      <xdr:col>24</xdr:col>
      <xdr:colOff>0</xdr:colOff>
      <xdr:row>30</xdr:row>
      <xdr:rowOff>0</xdr:rowOff>
    </xdr:from>
    <xdr:to>
      <xdr:col>40</xdr:col>
      <xdr:colOff>752988</xdr:colOff>
      <xdr:row>88</xdr:row>
      <xdr:rowOff>30160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22153756" y="6969512"/>
          <a:ext cx="13614061" cy="15720855"/>
          <a:chOff x="21556579" y="0"/>
          <a:chExt cx="14388777" cy="16815253"/>
        </a:xfrm>
      </xdr:grpSpPr>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21556579" y="6767763"/>
            <a:ext cx="14007777" cy="10047490"/>
          </a:xfrm>
          <a:prstGeom prst="rect">
            <a:avLst/>
          </a:prstGeom>
        </xdr:spPr>
      </xdr:pic>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3"/>
          <a:srcRect b="17976"/>
          <a:stretch/>
        </xdr:blipFill>
        <xdr:spPr>
          <a:xfrm>
            <a:off x="21937579" y="0"/>
            <a:ext cx="14007777" cy="8256377"/>
          </a:xfrm>
          <a:prstGeom prst="rect">
            <a:avLst/>
          </a:prstGeom>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27118235" y="6868615"/>
            <a:ext cx="7461451" cy="308973"/>
          </a:xfrm>
          <a:prstGeom prst="rect">
            <a:avLst/>
          </a:prstGeom>
          <a:solidFill>
            <a:srgbClr val="FFFF00">
              <a:alpha val="25098"/>
            </a:srgb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24</xdr:col>
      <xdr:colOff>0</xdr:colOff>
      <xdr:row>89</xdr:row>
      <xdr:rowOff>0</xdr:rowOff>
    </xdr:from>
    <xdr:to>
      <xdr:col>36</xdr:col>
      <xdr:colOff>611522</xdr:colOff>
      <xdr:row>114</xdr:row>
      <xdr:rowOff>308551</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a:stretch>
          <a:fillRect/>
        </a:stretch>
      </xdr:blipFill>
      <xdr:spPr>
        <a:xfrm>
          <a:off x="23045854" y="23975122"/>
          <a:ext cx="10647619" cy="7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0</xdr:colOff>
      <xdr:row>27</xdr:row>
      <xdr:rowOff>0</xdr:rowOff>
    </xdr:from>
    <xdr:to>
      <xdr:col>39</xdr:col>
      <xdr:colOff>371988</xdr:colOff>
      <xdr:row>61</xdr:row>
      <xdr:rowOff>21174</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22288500" y="6656294"/>
          <a:ext cx="13819047" cy="9904762"/>
        </a:xfrm>
        <a:prstGeom prst="rect">
          <a:avLst/>
        </a:prstGeom>
      </xdr:spPr>
    </xdr:pic>
    <xdr:clientData/>
  </xdr:twoCellAnchor>
  <xdr:twoCellAnchor editAs="oneCell">
    <xdr:from>
      <xdr:col>23</xdr:col>
      <xdr:colOff>381000</xdr:colOff>
      <xdr:row>0</xdr:row>
      <xdr:rowOff>0</xdr:rowOff>
    </xdr:from>
    <xdr:to>
      <xdr:col>39</xdr:col>
      <xdr:colOff>752988</xdr:colOff>
      <xdr:row>32</xdr:row>
      <xdr:rowOff>235324</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2"/>
        <a:srcRect b="17976"/>
        <a:stretch/>
      </xdr:blipFill>
      <xdr:spPr>
        <a:xfrm>
          <a:off x="22669500" y="0"/>
          <a:ext cx="13819047" cy="81242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259080</xdr:colOff>
          <xdr:row>25</xdr:row>
          <xdr:rowOff>19050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12</xdr:col>
      <xdr:colOff>0</xdr:colOff>
      <xdr:row>0</xdr:row>
      <xdr:rowOff>0</xdr:rowOff>
    </xdr:from>
    <xdr:to>
      <xdr:col>21</xdr:col>
      <xdr:colOff>77194</xdr:colOff>
      <xdr:row>37</xdr:row>
      <xdr:rowOff>156216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13030200" y="0"/>
          <a:ext cx="7620994" cy="10071741"/>
        </a:xfrm>
        <a:prstGeom prst="rect">
          <a:avLst/>
        </a:prstGeom>
      </xdr:spPr>
    </xdr:pic>
    <xdr:clientData/>
  </xdr:twoCellAnchor>
  <xdr:twoCellAnchor>
    <xdr:from>
      <xdr:col>29</xdr:col>
      <xdr:colOff>448235</xdr:colOff>
      <xdr:row>35</xdr:row>
      <xdr:rowOff>414616</xdr:rowOff>
    </xdr:from>
    <xdr:to>
      <xdr:col>38</xdr:col>
      <xdr:colOff>239553</xdr:colOff>
      <xdr:row>35</xdr:row>
      <xdr:rowOff>719461</xdr:rowOff>
    </xdr:to>
    <xdr:sp macro="" textlink="">
      <xdr:nvSpPr>
        <xdr:cNvPr id="9" name="Rectangle 8">
          <a:extLst>
            <a:ext uri="{FF2B5EF4-FFF2-40B4-BE49-F238E27FC236}">
              <a16:creationId xmlns:a16="http://schemas.microsoft.com/office/drawing/2014/main" id="{00000000-0008-0000-0300-000009000000}"/>
            </a:ext>
          </a:extLst>
        </xdr:cNvPr>
        <xdr:cNvSpPr/>
      </xdr:nvSpPr>
      <xdr:spPr>
        <a:xfrm>
          <a:off x="27779382" y="9300881"/>
          <a:ext cx="7355289" cy="304845"/>
        </a:xfrm>
        <a:prstGeom prst="rect">
          <a:avLst/>
        </a:prstGeom>
        <a:solidFill>
          <a:srgbClr val="FFFF00">
            <a:alpha val="25098"/>
          </a:srgb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0</xdr:colOff>
      <xdr:row>62</xdr:row>
      <xdr:rowOff>0</xdr:rowOff>
    </xdr:from>
    <xdr:to>
      <xdr:col>35</xdr:col>
      <xdr:colOff>562325</xdr:colOff>
      <xdr:row>88</xdr:row>
      <xdr:rowOff>1346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22288500" y="16786412"/>
          <a:ext cx="10647619" cy="71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4</xdr:col>
      <xdr:colOff>732673</xdr:colOff>
      <xdr:row>35</xdr:row>
      <xdr:rowOff>75602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2971800"/>
          <a:ext cx="6019048" cy="4780952"/>
        </a:xfrm>
        <a:prstGeom prst="rect">
          <a:avLst/>
        </a:prstGeom>
      </xdr:spPr>
    </xdr:pic>
    <xdr:clientData/>
  </xdr:twoCellAnchor>
  <xdr:twoCellAnchor editAs="oneCell">
    <xdr:from>
      <xdr:col>0</xdr:col>
      <xdr:colOff>0</xdr:colOff>
      <xdr:row>36</xdr:row>
      <xdr:rowOff>0</xdr:rowOff>
    </xdr:from>
    <xdr:to>
      <xdr:col>4</xdr:col>
      <xdr:colOff>732673</xdr:colOff>
      <xdr:row>55</xdr:row>
      <xdr:rowOff>75602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7924800"/>
          <a:ext cx="6019048" cy="4780952"/>
        </a:xfrm>
        <a:prstGeom prst="rect">
          <a:avLst/>
        </a:prstGeom>
      </xdr:spPr>
    </xdr:pic>
    <xdr:clientData/>
  </xdr:twoCellAnchor>
  <xdr:twoCellAnchor editAs="oneCell">
    <xdr:from>
      <xdr:col>0</xdr:col>
      <xdr:colOff>0</xdr:colOff>
      <xdr:row>56</xdr:row>
      <xdr:rowOff>0</xdr:rowOff>
    </xdr:from>
    <xdr:to>
      <xdr:col>4</xdr:col>
      <xdr:colOff>732673</xdr:colOff>
      <xdr:row>75</xdr:row>
      <xdr:rowOff>75602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12877800"/>
          <a:ext cx="6019048" cy="47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5</xdr:col>
      <xdr:colOff>694573</xdr:colOff>
      <xdr:row>41</xdr:row>
      <xdr:rowOff>75602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2476500"/>
          <a:ext cx="6019048" cy="4780952"/>
        </a:xfrm>
        <a:prstGeom prst="rect">
          <a:avLst/>
        </a:prstGeom>
      </xdr:spPr>
    </xdr:pic>
    <xdr:clientData/>
  </xdr:twoCellAnchor>
  <xdr:twoCellAnchor editAs="oneCell">
    <xdr:from>
      <xdr:col>0</xdr:col>
      <xdr:colOff>0</xdr:colOff>
      <xdr:row>64</xdr:row>
      <xdr:rowOff>0</xdr:rowOff>
    </xdr:from>
    <xdr:to>
      <xdr:col>5</xdr:col>
      <xdr:colOff>694573</xdr:colOff>
      <xdr:row>83</xdr:row>
      <xdr:rowOff>75602</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0" y="14611350"/>
          <a:ext cx="6019048" cy="4780952"/>
        </a:xfrm>
        <a:prstGeom prst="rect">
          <a:avLst/>
        </a:prstGeom>
      </xdr:spPr>
    </xdr:pic>
    <xdr:clientData/>
  </xdr:twoCellAnchor>
  <xdr:twoCellAnchor editAs="oneCell">
    <xdr:from>
      <xdr:col>0</xdr:col>
      <xdr:colOff>0</xdr:colOff>
      <xdr:row>86</xdr:row>
      <xdr:rowOff>0</xdr:rowOff>
    </xdr:from>
    <xdr:to>
      <xdr:col>5</xdr:col>
      <xdr:colOff>694573</xdr:colOff>
      <xdr:row>105</xdr:row>
      <xdr:rowOff>75602</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0" y="20059650"/>
          <a:ext cx="6019048" cy="4780952"/>
        </a:xfrm>
        <a:prstGeom prst="rect">
          <a:avLst/>
        </a:prstGeom>
      </xdr:spPr>
    </xdr:pic>
    <xdr:clientData/>
  </xdr:twoCellAnchor>
  <xdr:twoCellAnchor editAs="oneCell">
    <xdr:from>
      <xdr:col>9</xdr:col>
      <xdr:colOff>0</xdr:colOff>
      <xdr:row>22</xdr:row>
      <xdr:rowOff>0</xdr:rowOff>
    </xdr:from>
    <xdr:to>
      <xdr:col>13</xdr:col>
      <xdr:colOff>399298</xdr:colOff>
      <xdr:row>41</xdr:row>
      <xdr:rowOff>75602</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a:stretch>
          <a:fillRect/>
        </a:stretch>
      </xdr:blipFill>
      <xdr:spPr>
        <a:xfrm>
          <a:off x="7543800" y="2476500"/>
          <a:ext cx="6019048" cy="4780952"/>
        </a:xfrm>
        <a:prstGeom prst="rect">
          <a:avLst/>
        </a:prstGeom>
      </xdr:spPr>
    </xdr:pic>
    <xdr:clientData/>
  </xdr:twoCellAnchor>
  <xdr:twoCellAnchor editAs="oneCell">
    <xdr:from>
      <xdr:col>17</xdr:col>
      <xdr:colOff>0</xdr:colOff>
      <xdr:row>22</xdr:row>
      <xdr:rowOff>0</xdr:rowOff>
    </xdr:from>
    <xdr:to>
      <xdr:col>24</xdr:col>
      <xdr:colOff>151648</xdr:colOff>
      <xdr:row>41</xdr:row>
      <xdr:rowOff>75602</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stretch>
          <a:fillRect/>
        </a:stretch>
      </xdr:blipFill>
      <xdr:spPr>
        <a:xfrm>
          <a:off x="14249400" y="2476500"/>
          <a:ext cx="6019048" cy="4780952"/>
        </a:xfrm>
        <a:prstGeom prst="rect">
          <a:avLst/>
        </a:prstGeom>
      </xdr:spPr>
    </xdr:pic>
    <xdr:clientData/>
  </xdr:twoCellAnchor>
  <xdr:twoCellAnchor editAs="oneCell">
    <xdr:from>
      <xdr:col>25</xdr:col>
      <xdr:colOff>0</xdr:colOff>
      <xdr:row>22</xdr:row>
      <xdr:rowOff>0</xdr:rowOff>
    </xdr:from>
    <xdr:to>
      <xdr:col>32</xdr:col>
      <xdr:colOff>151648</xdr:colOff>
      <xdr:row>41</xdr:row>
      <xdr:rowOff>75602</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20955000" y="2476500"/>
          <a:ext cx="6019048" cy="4780952"/>
        </a:xfrm>
        <a:prstGeom prst="rect">
          <a:avLst/>
        </a:prstGeom>
      </xdr:spPr>
    </xdr:pic>
    <xdr:clientData/>
  </xdr:twoCellAnchor>
  <xdr:twoCellAnchor editAs="oneCell">
    <xdr:from>
      <xdr:col>33</xdr:col>
      <xdr:colOff>0</xdr:colOff>
      <xdr:row>22</xdr:row>
      <xdr:rowOff>0</xdr:rowOff>
    </xdr:from>
    <xdr:to>
      <xdr:col>40</xdr:col>
      <xdr:colOff>151648</xdr:colOff>
      <xdr:row>41</xdr:row>
      <xdr:rowOff>75602</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a:stretch>
          <a:fillRect/>
        </a:stretch>
      </xdr:blipFill>
      <xdr:spPr>
        <a:xfrm>
          <a:off x="27660600" y="2476500"/>
          <a:ext cx="6019048" cy="4780952"/>
        </a:xfrm>
        <a:prstGeom prst="rect">
          <a:avLst/>
        </a:prstGeom>
      </xdr:spPr>
    </xdr:pic>
    <xdr:clientData/>
  </xdr:twoCellAnchor>
  <xdr:twoCellAnchor editAs="oneCell">
    <xdr:from>
      <xdr:col>0</xdr:col>
      <xdr:colOff>0</xdr:colOff>
      <xdr:row>43</xdr:row>
      <xdr:rowOff>0</xdr:rowOff>
    </xdr:from>
    <xdr:to>
      <xdr:col>5</xdr:col>
      <xdr:colOff>694573</xdr:colOff>
      <xdr:row>62</xdr:row>
      <xdr:rowOff>75602</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8"/>
        <a:stretch>
          <a:fillRect/>
        </a:stretch>
      </xdr:blipFill>
      <xdr:spPr>
        <a:xfrm>
          <a:off x="0" y="9410700"/>
          <a:ext cx="6019048" cy="4780952"/>
        </a:xfrm>
        <a:prstGeom prst="rect">
          <a:avLst/>
        </a:prstGeom>
      </xdr:spPr>
    </xdr:pic>
    <xdr:clientData/>
  </xdr:twoCellAnchor>
  <xdr:twoCellAnchor editAs="oneCell">
    <xdr:from>
      <xdr:col>9</xdr:col>
      <xdr:colOff>0</xdr:colOff>
      <xdr:row>43</xdr:row>
      <xdr:rowOff>0</xdr:rowOff>
    </xdr:from>
    <xdr:to>
      <xdr:col>13</xdr:col>
      <xdr:colOff>399298</xdr:colOff>
      <xdr:row>62</xdr:row>
      <xdr:rowOff>75602</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9"/>
        <a:stretch>
          <a:fillRect/>
        </a:stretch>
      </xdr:blipFill>
      <xdr:spPr>
        <a:xfrm>
          <a:off x="8677275" y="9410700"/>
          <a:ext cx="6019048" cy="4780952"/>
        </a:xfrm>
        <a:prstGeom prst="rect">
          <a:avLst/>
        </a:prstGeom>
      </xdr:spPr>
    </xdr:pic>
    <xdr:clientData/>
  </xdr:twoCellAnchor>
  <xdr:twoCellAnchor editAs="oneCell">
    <xdr:from>
      <xdr:col>17</xdr:col>
      <xdr:colOff>0</xdr:colOff>
      <xdr:row>43</xdr:row>
      <xdr:rowOff>0</xdr:rowOff>
    </xdr:from>
    <xdr:to>
      <xdr:col>24</xdr:col>
      <xdr:colOff>151648</xdr:colOff>
      <xdr:row>62</xdr:row>
      <xdr:rowOff>75602</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0"/>
        <a:stretch>
          <a:fillRect/>
        </a:stretch>
      </xdr:blipFill>
      <xdr:spPr>
        <a:xfrm>
          <a:off x="15382875" y="9410700"/>
          <a:ext cx="6019048" cy="4780952"/>
        </a:xfrm>
        <a:prstGeom prst="rect">
          <a:avLst/>
        </a:prstGeom>
      </xdr:spPr>
    </xdr:pic>
    <xdr:clientData/>
  </xdr:twoCellAnchor>
  <xdr:twoCellAnchor editAs="oneCell">
    <xdr:from>
      <xdr:col>25</xdr:col>
      <xdr:colOff>0</xdr:colOff>
      <xdr:row>43</xdr:row>
      <xdr:rowOff>0</xdr:rowOff>
    </xdr:from>
    <xdr:to>
      <xdr:col>32</xdr:col>
      <xdr:colOff>151648</xdr:colOff>
      <xdr:row>62</xdr:row>
      <xdr:rowOff>75602</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1"/>
        <a:stretch>
          <a:fillRect/>
        </a:stretch>
      </xdr:blipFill>
      <xdr:spPr>
        <a:xfrm>
          <a:off x="22088475" y="9410700"/>
          <a:ext cx="6019048" cy="4780952"/>
        </a:xfrm>
        <a:prstGeom prst="rect">
          <a:avLst/>
        </a:prstGeom>
      </xdr:spPr>
    </xdr:pic>
    <xdr:clientData/>
  </xdr:twoCellAnchor>
  <xdr:twoCellAnchor editAs="oneCell">
    <xdr:from>
      <xdr:col>33</xdr:col>
      <xdr:colOff>0</xdr:colOff>
      <xdr:row>43</xdr:row>
      <xdr:rowOff>0</xdr:rowOff>
    </xdr:from>
    <xdr:to>
      <xdr:col>40</xdr:col>
      <xdr:colOff>151648</xdr:colOff>
      <xdr:row>62</xdr:row>
      <xdr:rowOff>75602</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2"/>
        <a:stretch>
          <a:fillRect/>
        </a:stretch>
      </xdr:blipFill>
      <xdr:spPr>
        <a:xfrm>
          <a:off x="28794075" y="9410700"/>
          <a:ext cx="6019048" cy="4780952"/>
        </a:xfrm>
        <a:prstGeom prst="rect">
          <a:avLst/>
        </a:prstGeom>
      </xdr:spPr>
    </xdr:pic>
    <xdr:clientData/>
  </xdr:twoCellAnchor>
  <xdr:twoCellAnchor>
    <xdr:from>
      <xdr:col>9</xdr:col>
      <xdr:colOff>0</xdr:colOff>
      <xdr:row>73</xdr:row>
      <xdr:rowOff>47624</xdr:rowOff>
    </xdr:from>
    <xdr:to>
      <xdr:col>16</xdr:col>
      <xdr:colOff>0</xdr:colOff>
      <xdr:row>95</xdr:row>
      <xdr:rowOff>0</xdr:rowOff>
    </xdr:to>
    <xdr:graphicFrame macro="">
      <xdr:nvGraphicFramePr>
        <xdr:cNvPr id="17" name="Chart 16">
          <a:extLst>
            <a:ext uri="{FF2B5EF4-FFF2-40B4-BE49-F238E27FC236}">
              <a16:creationId xmlns:a16="http://schemas.microsoft.com/office/drawing/2014/main" id="{00000000-0008-0000-05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26</xdr:col>
      <xdr:colOff>265514</xdr:colOff>
      <xdr:row>27</xdr:row>
      <xdr:rowOff>18243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5382875" y="0"/>
          <a:ext cx="9485714" cy="6457143"/>
        </a:xfrm>
        <a:prstGeom prst="rect">
          <a:avLst/>
        </a:prstGeom>
      </xdr:spPr>
    </xdr:pic>
    <xdr:clientData/>
  </xdr:twoCellAnchor>
  <xdr:twoCellAnchor editAs="oneCell">
    <xdr:from>
      <xdr:col>15</xdr:col>
      <xdr:colOff>0</xdr:colOff>
      <xdr:row>28</xdr:row>
      <xdr:rowOff>0</xdr:rowOff>
    </xdr:from>
    <xdr:to>
      <xdr:col>26</xdr:col>
      <xdr:colOff>265514</xdr:colOff>
      <xdr:row>54</xdr:row>
      <xdr:rowOff>18243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5382875" y="6686550"/>
          <a:ext cx="9485714" cy="6457143"/>
        </a:xfrm>
        <a:prstGeom prst="rect">
          <a:avLst/>
        </a:prstGeom>
      </xdr:spPr>
    </xdr:pic>
    <xdr:clientData/>
  </xdr:twoCellAnchor>
  <xdr:twoCellAnchor editAs="oneCell">
    <xdr:from>
      <xdr:col>0</xdr:col>
      <xdr:colOff>0</xdr:colOff>
      <xdr:row>24</xdr:row>
      <xdr:rowOff>232409</xdr:rowOff>
    </xdr:from>
    <xdr:to>
      <xdr:col>5</xdr:col>
      <xdr:colOff>754380</xdr:colOff>
      <xdr:row>47</xdr:row>
      <xdr:rowOff>109039</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5810249"/>
          <a:ext cx="7315200" cy="5222060"/>
        </a:xfrm>
        <a:prstGeom prst="rect">
          <a:avLst/>
        </a:prstGeom>
      </xdr:spPr>
    </xdr:pic>
    <xdr:clientData/>
  </xdr:twoCellAnchor>
  <xdr:twoCellAnchor editAs="oneCell">
    <xdr:from>
      <xdr:col>0</xdr:col>
      <xdr:colOff>0</xdr:colOff>
      <xdr:row>55</xdr:row>
      <xdr:rowOff>0</xdr:rowOff>
    </xdr:from>
    <xdr:to>
      <xdr:col>5</xdr:col>
      <xdr:colOff>754380</xdr:colOff>
      <xdr:row>77</xdr:row>
      <xdr:rowOff>109040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0" y="12782550"/>
          <a:ext cx="7315200" cy="5222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455676</xdr:colOff>
      <xdr:row>34</xdr:row>
      <xdr:rowOff>246567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2190476" cy="8666667"/>
        </a:xfrm>
        <a:prstGeom prst="rect">
          <a:avLst/>
        </a:prstGeom>
      </xdr:spPr>
    </xdr:pic>
    <xdr:clientData/>
  </xdr:twoCellAnchor>
  <xdr:twoCellAnchor editAs="oneCell">
    <xdr:from>
      <xdr:col>0</xdr:col>
      <xdr:colOff>0</xdr:colOff>
      <xdr:row>36</xdr:row>
      <xdr:rowOff>0</xdr:rowOff>
    </xdr:from>
    <xdr:to>
      <xdr:col>14</xdr:col>
      <xdr:colOff>455676</xdr:colOff>
      <xdr:row>74</xdr:row>
      <xdr:rowOff>113109</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8915400"/>
          <a:ext cx="12190476" cy="95238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9525</xdr:colOff>
      <xdr:row>7</xdr:row>
      <xdr:rowOff>123825</xdr:rowOff>
    </xdr:from>
    <xdr:to>
      <xdr:col>25</xdr:col>
      <xdr:colOff>276225</xdr:colOff>
      <xdr:row>7</xdr:row>
      <xdr:rowOff>123825</xdr:rowOff>
    </xdr:to>
    <xdr:cxnSp macro="">
      <xdr:nvCxnSpPr>
        <xdr:cNvPr id="3" name="Straight Arrow Connector 2">
          <a:extLst>
            <a:ext uri="{FF2B5EF4-FFF2-40B4-BE49-F238E27FC236}">
              <a16:creationId xmlns:a16="http://schemas.microsoft.com/office/drawing/2014/main" id="{00000000-0008-0000-0A00-000003000000}"/>
            </a:ext>
          </a:extLst>
        </xdr:cNvPr>
        <xdr:cNvCxnSpPr/>
      </xdr:nvCxnSpPr>
      <xdr:spPr bwMode="auto">
        <a:xfrm>
          <a:off x="1676400" y="1857375"/>
          <a:ext cx="626745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66675</xdr:colOff>
      <xdr:row>7</xdr:row>
      <xdr:rowOff>123825</xdr:rowOff>
    </xdr:from>
    <xdr:to>
      <xdr:col>47</xdr:col>
      <xdr:colOff>0</xdr:colOff>
      <xdr:row>7</xdr:row>
      <xdr:rowOff>123825</xdr:rowOff>
    </xdr:to>
    <xdr:cxnSp macro="">
      <xdr:nvCxnSpPr>
        <xdr:cNvPr id="4" name="Straight Arrow Connector 3">
          <a:extLst>
            <a:ext uri="{FF2B5EF4-FFF2-40B4-BE49-F238E27FC236}">
              <a16:creationId xmlns:a16="http://schemas.microsoft.com/office/drawing/2014/main" id="{00000000-0008-0000-0A00-000004000000}"/>
            </a:ext>
          </a:extLst>
        </xdr:cNvPr>
        <xdr:cNvCxnSpPr/>
      </xdr:nvCxnSpPr>
      <xdr:spPr bwMode="auto">
        <a:xfrm flipH="1">
          <a:off x="8734425" y="1857375"/>
          <a:ext cx="626745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10</xdr:row>
      <xdr:rowOff>0</xdr:rowOff>
    </xdr:from>
    <xdr:to>
      <xdr:col>4</xdr:col>
      <xdr:colOff>161925</xdr:colOff>
      <xdr:row>13</xdr:row>
      <xdr:rowOff>76200</xdr:rowOff>
    </xdr:to>
    <xdr:cxnSp macro="">
      <xdr:nvCxnSpPr>
        <xdr:cNvPr id="5" name="Straight Arrow Connector 4">
          <a:extLst>
            <a:ext uri="{FF2B5EF4-FFF2-40B4-BE49-F238E27FC236}">
              <a16:creationId xmlns:a16="http://schemas.microsoft.com/office/drawing/2014/main" id="{00000000-0008-0000-0A00-000005000000}"/>
            </a:ext>
          </a:extLst>
        </xdr:cNvPr>
        <xdr:cNvCxnSpPr/>
      </xdr:nvCxnSpPr>
      <xdr:spPr bwMode="auto">
        <a:xfrm>
          <a:off x="1495425" y="2476500"/>
          <a:ext cx="0" cy="81915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16</xdr:row>
      <xdr:rowOff>161925</xdr:rowOff>
    </xdr:from>
    <xdr:to>
      <xdr:col>4</xdr:col>
      <xdr:colOff>161925</xdr:colOff>
      <xdr:row>19</xdr:row>
      <xdr:rowOff>238125</xdr:rowOff>
    </xdr:to>
    <xdr:cxnSp macro="">
      <xdr:nvCxnSpPr>
        <xdr:cNvPr id="7" name="Straight Arrow Connector 6">
          <a:extLst>
            <a:ext uri="{FF2B5EF4-FFF2-40B4-BE49-F238E27FC236}">
              <a16:creationId xmlns:a16="http://schemas.microsoft.com/office/drawing/2014/main" id="{00000000-0008-0000-0A00-000007000000}"/>
            </a:ext>
          </a:extLst>
        </xdr:cNvPr>
        <xdr:cNvCxnSpPr/>
      </xdr:nvCxnSpPr>
      <xdr:spPr bwMode="auto">
        <a:xfrm flipV="1">
          <a:off x="1495425" y="4124325"/>
          <a:ext cx="0" cy="81915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9525</xdr:colOff>
      <xdr:row>27</xdr:row>
      <xdr:rowOff>123825</xdr:rowOff>
    </xdr:from>
    <xdr:to>
      <xdr:col>25</xdr:col>
      <xdr:colOff>276225</xdr:colOff>
      <xdr:row>27</xdr:row>
      <xdr:rowOff>123825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bwMode="auto">
        <a:xfrm>
          <a:off x="2343150" y="2324100"/>
          <a:ext cx="626745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66675</xdr:colOff>
      <xdr:row>27</xdr:row>
      <xdr:rowOff>123825</xdr:rowOff>
    </xdr:from>
    <xdr:to>
      <xdr:col>47</xdr:col>
      <xdr:colOff>0</xdr:colOff>
      <xdr:row>27</xdr:row>
      <xdr:rowOff>123825</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bwMode="auto">
        <a:xfrm flipH="1">
          <a:off x="9401175" y="2324100"/>
          <a:ext cx="6267450" cy="0"/>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30</xdr:row>
      <xdr:rowOff>0</xdr:rowOff>
    </xdr:from>
    <xdr:to>
      <xdr:col>4</xdr:col>
      <xdr:colOff>161925</xdr:colOff>
      <xdr:row>33</xdr:row>
      <xdr:rowOff>76200</xdr:rowOff>
    </xdr:to>
    <xdr:cxnSp macro="">
      <xdr:nvCxnSpPr>
        <xdr:cNvPr id="9" name="Straight Arrow Connector 8">
          <a:extLst>
            <a:ext uri="{FF2B5EF4-FFF2-40B4-BE49-F238E27FC236}">
              <a16:creationId xmlns:a16="http://schemas.microsoft.com/office/drawing/2014/main" id="{00000000-0008-0000-0A00-000009000000}"/>
            </a:ext>
          </a:extLst>
        </xdr:cNvPr>
        <xdr:cNvCxnSpPr/>
      </xdr:nvCxnSpPr>
      <xdr:spPr bwMode="auto">
        <a:xfrm>
          <a:off x="1495425" y="3143250"/>
          <a:ext cx="0" cy="1019175"/>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161925</xdr:colOff>
      <xdr:row>36</xdr:row>
      <xdr:rowOff>161925</xdr:rowOff>
    </xdr:from>
    <xdr:to>
      <xdr:col>4</xdr:col>
      <xdr:colOff>161925</xdr:colOff>
      <xdr:row>39</xdr:row>
      <xdr:rowOff>238125</xdr:rowOff>
    </xdr:to>
    <xdr:cxnSp macro="">
      <xdr:nvCxnSpPr>
        <xdr:cNvPr id="10" name="Straight Arrow Connector 9">
          <a:extLst>
            <a:ext uri="{FF2B5EF4-FFF2-40B4-BE49-F238E27FC236}">
              <a16:creationId xmlns:a16="http://schemas.microsoft.com/office/drawing/2014/main" id="{00000000-0008-0000-0A00-00000A000000}"/>
            </a:ext>
          </a:extLst>
        </xdr:cNvPr>
        <xdr:cNvCxnSpPr/>
      </xdr:nvCxnSpPr>
      <xdr:spPr bwMode="auto">
        <a:xfrm flipV="1">
          <a:off x="1495425" y="5191125"/>
          <a:ext cx="0" cy="1019175"/>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0</xdr:colOff>
      <xdr:row>23</xdr:row>
      <xdr:rowOff>0</xdr:rowOff>
    </xdr:from>
    <xdr:to>
      <xdr:col>7</xdr:col>
      <xdr:colOff>0</xdr:colOff>
      <xdr:row>24</xdr:row>
      <xdr:rowOff>47626</xdr:rowOff>
    </xdr:to>
    <xdr:cxnSp macro="">
      <xdr:nvCxnSpPr>
        <xdr:cNvPr id="11" name="Straight Arrow Connector 10">
          <a:extLst>
            <a:ext uri="{FF2B5EF4-FFF2-40B4-BE49-F238E27FC236}">
              <a16:creationId xmlns:a16="http://schemas.microsoft.com/office/drawing/2014/main" id="{00000000-0008-0000-0A00-00000B000000}"/>
            </a:ext>
          </a:extLst>
        </xdr:cNvPr>
        <xdr:cNvCxnSpPr/>
      </xdr:nvCxnSpPr>
      <xdr:spPr bwMode="auto">
        <a:xfrm flipV="1">
          <a:off x="2333625" y="7229475"/>
          <a:ext cx="0" cy="361951"/>
        </a:xfrm>
        <a:prstGeom prst="straightConnector1">
          <a:avLst/>
        </a:prstGeom>
        <a:solidFill>
          <a:srgbClr xmlns:mc="http://schemas.openxmlformats.org/markup-compatibility/2006" xmlns:a14="http://schemas.microsoft.com/office/drawing/2010/main" val="FFFFFF" mc:Ignorable="a14" a14:legacySpreadsheetColorIndex="9"/>
        </a:solidFill>
        <a:ln w="25400" cap="rnd" cmpd="sng" algn="ctr">
          <a:solidFill>
            <a:srgbClr xmlns:mc="http://schemas.openxmlformats.org/markup-compatibility/2006" xmlns:a14="http://schemas.microsoft.com/office/drawing/2010/main" val="000000" mc:Ignorable="a14" a14:legacySpreadsheetColorIndex="64"/>
          </a:solidFill>
          <a:prstDash val="solid"/>
          <a:round/>
          <a:headEnd type="arrow" w="lg"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DE%20Tools/SketchUp/Chiller%20Plant%20Model/Design%20Calcs/Misc.%20Calculations%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W Good Pump Selection"/>
      <sheetName val="CHW Poor Pump Selection"/>
      <sheetName val="Heating Load"/>
      <sheetName val="CW Pump - Poor Selection"/>
      <sheetName val="Base Case"/>
      <sheetName val="FTR Analysis"/>
    </sheetNames>
    <sheetDataSet>
      <sheetData sheetId="0"/>
      <sheetData sheetId="1"/>
      <sheetData sheetId="2"/>
      <sheetData sheetId="3"/>
      <sheetData sheetId="4" refreshError="1"/>
      <sheetData sheetId="5">
        <row r="37">
          <cell r="B37">
            <v>90</v>
          </cell>
        </row>
      </sheetData>
    </sheetDataSet>
  </externalBook>
</externalLink>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oleObject" Target="../embeddings/oleObject5.bin"/><Relationship Id="rId18" Type="http://schemas.openxmlformats.org/officeDocument/2006/relationships/oleObject" Target="../embeddings/oleObject8.bin"/><Relationship Id="rId3" Type="http://schemas.openxmlformats.org/officeDocument/2006/relationships/drawing" Target="../drawings/drawing2.xml"/><Relationship Id="rId7" Type="http://schemas.openxmlformats.org/officeDocument/2006/relationships/oleObject" Target="../embeddings/oleObject2.bin"/><Relationship Id="rId12" Type="http://schemas.openxmlformats.org/officeDocument/2006/relationships/image" Target="../media/image7.emf"/><Relationship Id="rId17" Type="http://schemas.openxmlformats.org/officeDocument/2006/relationships/oleObject" Target="../embeddings/oleObject7.bin"/><Relationship Id="rId2" Type="http://schemas.openxmlformats.org/officeDocument/2006/relationships/printerSettings" Target="../printerSettings/printerSettings2.bin"/><Relationship Id="rId16" Type="http://schemas.openxmlformats.org/officeDocument/2006/relationships/image" Target="../media/image9.emf"/><Relationship Id="rId1" Type="http://schemas.openxmlformats.org/officeDocument/2006/relationships/hyperlink" Target="https://av8rdas.wordpress.com/2015/09/22/economizersthe-physics-of-a-mixed-air-plenum/" TargetMode="External"/><Relationship Id="rId6" Type="http://schemas.openxmlformats.org/officeDocument/2006/relationships/image" Target="../media/image4.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6.e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image" Target="../media/image8.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1.emf"/><Relationship Id="rId4" Type="http://schemas.openxmlformats.org/officeDocument/2006/relationships/oleObject" Target="../embeddings/oleObject9.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3.vml"/><Relationship Id="rId1" Type="http://schemas.openxmlformats.org/officeDocument/2006/relationships/drawing" Target="../drawings/drawing4.xml"/><Relationship Id="rId4" Type="http://schemas.openxmlformats.org/officeDocument/2006/relationships/image" Target="../media/image11.emf"/></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Q292"/>
  <sheetViews>
    <sheetView tabSelected="1" workbookViewId="0">
      <selection activeCell="K74" sqref="K74"/>
    </sheetView>
  </sheetViews>
  <sheetFormatPr defaultColWidth="11" defaultRowHeight="18.3" x14ac:dyDescent="0.85"/>
  <cols>
    <col min="1" max="1" width="16.08203125" style="1" customWidth="1"/>
    <col min="2" max="2" width="30.4140625" style="2" customWidth="1"/>
    <col min="3" max="3" width="11.70703125" style="1" customWidth="1"/>
    <col min="4" max="4" width="9.70703125" style="1" customWidth="1"/>
    <col min="5" max="5" width="11" style="1"/>
    <col min="6" max="7" width="11.70703125" style="1" customWidth="1"/>
    <col min="8" max="8" width="13.70703125" style="1" customWidth="1"/>
    <col min="9" max="9" width="11" style="132"/>
    <col min="10" max="10" width="11.70703125" style="1" customWidth="1"/>
    <col min="11" max="11" width="13.70703125" style="1" customWidth="1"/>
    <col min="12" max="13" width="11" style="1"/>
    <col min="14" max="15" width="14.70703125" style="1" customWidth="1"/>
    <col min="16" max="17" width="15.70703125" style="1" customWidth="1"/>
    <col min="18" max="18" width="11" style="1"/>
    <col min="19" max="19" width="11.70703125" style="1" customWidth="1"/>
    <col min="20" max="20" width="14.70703125" style="1" customWidth="1"/>
    <col min="21" max="16384" width="11" style="1"/>
  </cols>
  <sheetData>
    <row r="1" spans="1:17" s="20" customFormat="1" ht="138.75" customHeight="1" x14ac:dyDescent="0.85">
      <c r="B1" s="21"/>
      <c r="C1" s="22"/>
      <c r="I1" s="131"/>
    </row>
    <row r="2" spans="1:17" ht="19.5" customHeight="1" x14ac:dyDescent="0.85">
      <c r="A2" s="4" t="s">
        <v>6</v>
      </c>
      <c r="B2" s="5"/>
      <c r="C2" s="3"/>
    </row>
    <row r="3" spans="1:17" ht="19.5" customHeight="1" x14ac:dyDescent="0.85">
      <c r="A3" s="4" t="s">
        <v>7</v>
      </c>
      <c r="B3" s="5"/>
      <c r="C3" s="3"/>
    </row>
    <row r="4" spans="1:17" x14ac:dyDescent="0.85">
      <c r="A4" s="6" t="s">
        <v>0</v>
      </c>
      <c r="B4" s="18"/>
      <c r="C4" s="3"/>
      <c r="D4" s="3"/>
    </row>
    <row r="5" spans="1:17" s="11" customFormat="1" x14ac:dyDescent="0.85">
      <c r="A5" s="7" t="s">
        <v>5</v>
      </c>
      <c r="B5" s="23">
        <v>42705.661128819447</v>
      </c>
      <c r="C5" s="13"/>
      <c r="D5" s="13"/>
      <c r="E5" s="8"/>
      <c r="F5" s="8"/>
      <c r="G5" s="9"/>
      <c r="H5" s="8"/>
      <c r="I5" s="8"/>
      <c r="J5" s="8"/>
      <c r="K5" s="8"/>
      <c r="L5" s="10"/>
      <c r="M5" s="8"/>
      <c r="N5" s="8"/>
    </row>
    <row r="6" spans="1:17" s="11" customFormat="1" x14ac:dyDescent="0.85">
      <c r="A6" s="7" t="s">
        <v>1</v>
      </c>
      <c r="B6" s="24" t="s">
        <v>8</v>
      </c>
      <c r="C6" s="13"/>
      <c r="D6" s="13"/>
      <c r="E6" s="8"/>
      <c r="F6" s="8"/>
      <c r="G6" s="9"/>
      <c r="H6" s="8"/>
      <c r="I6" s="8"/>
      <c r="J6" s="8"/>
      <c r="K6" s="8"/>
      <c r="L6" s="10"/>
      <c r="M6" s="8"/>
      <c r="N6" s="8"/>
    </row>
    <row r="7" spans="1:17" s="11" customFormat="1" x14ac:dyDescent="0.85">
      <c r="A7" s="7" t="s">
        <v>2</v>
      </c>
      <c r="B7" s="19"/>
      <c r="C7" s="13"/>
      <c r="D7" s="13"/>
      <c r="E7" s="8"/>
      <c r="F7" s="8"/>
      <c r="G7" s="9"/>
      <c r="H7" s="8"/>
      <c r="I7" s="8"/>
      <c r="J7" s="8"/>
      <c r="K7" s="8"/>
      <c r="L7" s="10"/>
      <c r="M7" s="8"/>
      <c r="N7" s="8"/>
    </row>
    <row r="8" spans="1:17" s="11" customFormat="1" x14ac:dyDescent="0.85">
      <c r="A8" s="7" t="s">
        <v>3</v>
      </c>
      <c r="B8" s="24" t="s">
        <v>9</v>
      </c>
      <c r="C8" s="13"/>
      <c r="D8" s="13"/>
      <c r="E8" s="8"/>
      <c r="F8" s="8"/>
      <c r="G8" s="9"/>
      <c r="H8" s="8"/>
      <c r="I8" s="8"/>
      <c r="J8" s="8"/>
      <c r="K8" s="8"/>
      <c r="L8" s="10"/>
      <c r="M8" s="8"/>
      <c r="N8" s="8"/>
    </row>
    <row r="9" spans="1:17" s="11" customFormat="1" x14ac:dyDescent="0.85">
      <c r="A9" s="12" t="s">
        <v>4</v>
      </c>
      <c r="B9" s="13"/>
      <c r="C9" s="13"/>
      <c r="D9" s="13"/>
      <c r="E9" s="8"/>
      <c r="F9" s="8"/>
      <c r="G9" s="8"/>
      <c r="H9" s="8"/>
      <c r="I9" s="8"/>
      <c r="J9" s="8"/>
      <c r="K9" s="8"/>
      <c r="L9" s="10"/>
      <c r="M9" s="8"/>
      <c r="N9" s="8"/>
    </row>
    <row r="10" spans="1:17" s="11" customFormat="1" x14ac:dyDescent="0.85">
      <c r="A10" s="53" t="s">
        <v>94</v>
      </c>
      <c r="B10" s="54"/>
      <c r="C10" s="54"/>
      <c r="D10" s="54"/>
      <c r="E10" s="55"/>
      <c r="F10" s="55"/>
      <c r="G10" s="55"/>
      <c r="H10" s="55"/>
      <c r="I10" s="55"/>
      <c r="J10" s="55"/>
      <c r="K10" s="55"/>
      <c r="L10" s="56"/>
      <c r="M10" s="55"/>
      <c r="N10" s="8"/>
    </row>
    <row r="11" spans="1:17" s="11" customFormat="1" x14ac:dyDescent="0.85">
      <c r="A11" s="14"/>
      <c r="B11" s="25" t="s">
        <v>10</v>
      </c>
      <c r="C11" s="9"/>
      <c r="D11" s="9"/>
      <c r="E11" s="9"/>
      <c r="F11" s="9"/>
      <c r="G11" s="9"/>
      <c r="H11" s="9"/>
      <c r="I11" s="9"/>
      <c r="J11" s="9"/>
      <c r="K11" s="9"/>
      <c r="L11" s="9"/>
      <c r="M11" s="9"/>
      <c r="N11" s="9"/>
      <c r="O11" s="26"/>
      <c r="P11" s="26"/>
      <c r="Q11" s="26"/>
    </row>
    <row r="12" spans="1:17" s="11" customFormat="1" x14ac:dyDescent="0.85">
      <c r="A12" s="14"/>
      <c r="B12" s="27" t="s">
        <v>11</v>
      </c>
      <c r="C12" s="28">
        <f>AVERAGE(25,40)</f>
        <v>32.5</v>
      </c>
      <c r="D12" s="25" t="s">
        <v>35</v>
      </c>
      <c r="E12" s="9"/>
      <c r="F12" s="27" t="s">
        <v>12</v>
      </c>
      <c r="G12" s="25" t="s">
        <v>13</v>
      </c>
      <c r="H12" s="9"/>
      <c r="I12" s="9"/>
      <c r="J12" s="9"/>
      <c r="K12" s="9"/>
      <c r="L12" s="9"/>
      <c r="M12" s="9"/>
      <c r="N12" s="9"/>
      <c r="O12" s="26"/>
      <c r="P12" s="26"/>
      <c r="Q12" s="26"/>
    </row>
    <row r="13" spans="1:17" s="11" customFormat="1" x14ac:dyDescent="0.85">
      <c r="A13" s="14"/>
      <c r="B13" s="27" t="s">
        <v>14</v>
      </c>
      <c r="C13" s="28">
        <v>20000</v>
      </c>
      <c r="D13" s="25" t="s">
        <v>15</v>
      </c>
      <c r="E13" s="9"/>
      <c r="F13" s="27"/>
      <c r="G13" s="25"/>
      <c r="H13" s="27"/>
      <c r="I13" s="9"/>
      <c r="J13" s="9"/>
      <c r="K13" s="9"/>
      <c r="L13" s="9"/>
      <c r="M13" s="9"/>
      <c r="N13" s="9"/>
      <c r="O13" s="26"/>
      <c r="P13" s="26"/>
      <c r="Q13" s="26"/>
    </row>
    <row r="14" spans="1:17" s="11" customFormat="1" x14ac:dyDescent="0.85">
      <c r="A14" s="14"/>
      <c r="B14" s="27" t="s">
        <v>16</v>
      </c>
      <c r="C14" s="28">
        <v>2</v>
      </c>
      <c r="D14" s="25" t="s">
        <v>19</v>
      </c>
      <c r="E14" s="9"/>
      <c r="F14" s="27"/>
      <c r="G14" s="25"/>
      <c r="H14" s="27"/>
      <c r="I14" s="9"/>
      <c r="J14" s="9"/>
      <c r="K14" s="9"/>
      <c r="L14" s="9"/>
      <c r="M14" s="9"/>
      <c r="N14" s="9"/>
      <c r="O14" s="26"/>
      <c r="P14" s="26"/>
      <c r="Q14" s="26"/>
    </row>
    <row r="15" spans="1:17" s="11" customFormat="1" x14ac:dyDescent="0.85">
      <c r="A15" s="14"/>
      <c r="B15" s="27" t="s">
        <v>17</v>
      </c>
      <c r="C15" s="28">
        <f>(0.5*C13)/C16</f>
        <v>200</v>
      </c>
      <c r="D15" s="25" t="s">
        <v>293</v>
      </c>
      <c r="E15" s="9"/>
      <c r="F15" s="27"/>
      <c r="G15" s="25"/>
      <c r="H15" s="27"/>
      <c r="I15" s="9"/>
      <c r="J15" s="9"/>
      <c r="K15" s="9"/>
      <c r="L15" s="9"/>
      <c r="M15" s="9"/>
      <c r="N15" s="9"/>
      <c r="O15" s="26"/>
      <c r="P15" s="26"/>
      <c r="Q15" s="26"/>
    </row>
    <row r="16" spans="1:17" s="11" customFormat="1" x14ac:dyDescent="0.85">
      <c r="A16" s="14"/>
      <c r="B16" s="27" t="s">
        <v>18</v>
      </c>
      <c r="C16" s="28">
        <v>50</v>
      </c>
      <c r="D16" s="25" t="s">
        <v>294</v>
      </c>
      <c r="E16" s="9"/>
      <c r="F16" s="27"/>
      <c r="G16" s="25"/>
      <c r="H16" s="27"/>
      <c r="I16" s="9"/>
      <c r="J16" s="9"/>
      <c r="K16" s="9"/>
      <c r="L16" s="9"/>
      <c r="M16" s="9"/>
      <c r="N16" s="9"/>
      <c r="O16" s="26"/>
      <c r="P16" s="26"/>
      <c r="Q16" s="26"/>
    </row>
    <row r="17" spans="1:17" s="11" customFormat="1" x14ac:dyDescent="0.85">
      <c r="A17" s="14"/>
      <c r="B17" s="27" t="s">
        <v>123</v>
      </c>
      <c r="C17" s="28">
        <v>12</v>
      </c>
      <c r="D17" s="25" t="s">
        <v>20</v>
      </c>
      <c r="E17" s="9"/>
      <c r="F17" s="27"/>
      <c r="G17" s="25"/>
      <c r="H17" s="27"/>
      <c r="I17" s="9"/>
      <c r="J17" s="9"/>
      <c r="K17" s="9"/>
      <c r="L17" s="9"/>
      <c r="M17" s="9"/>
      <c r="N17" s="9"/>
      <c r="O17" s="26"/>
      <c r="P17" s="26"/>
      <c r="Q17" s="26"/>
    </row>
    <row r="18" spans="1:17" s="11" customFormat="1" x14ac:dyDescent="0.85">
      <c r="A18" s="14"/>
      <c r="B18" s="27" t="s">
        <v>124</v>
      </c>
      <c r="C18" s="28">
        <f>C17*(2*((2*C15)+(2*C16)))</f>
        <v>12000</v>
      </c>
      <c r="D18" s="25" t="s">
        <v>125</v>
      </c>
      <c r="E18" s="9"/>
      <c r="F18" s="27"/>
      <c r="G18" s="25"/>
      <c r="H18" s="27"/>
      <c r="I18" s="9"/>
      <c r="J18" s="9"/>
      <c r="K18" s="9"/>
      <c r="L18" s="9"/>
      <c r="M18" s="9"/>
      <c r="N18" s="9"/>
      <c r="O18" s="26"/>
      <c r="P18" s="26"/>
      <c r="Q18" s="26"/>
    </row>
    <row r="19" spans="1:17" s="11" customFormat="1" x14ac:dyDescent="0.85">
      <c r="A19" s="14"/>
      <c r="B19" s="27" t="s">
        <v>126</v>
      </c>
      <c r="C19" s="28">
        <f>C13-C18</f>
        <v>8000</v>
      </c>
      <c r="D19" s="25"/>
      <c r="E19" s="9"/>
      <c r="F19" s="27"/>
      <c r="G19" s="25"/>
      <c r="H19" s="27"/>
      <c r="I19" s="9"/>
      <c r="J19" s="9"/>
      <c r="K19" s="9"/>
      <c r="L19" s="9"/>
      <c r="M19" s="9"/>
      <c r="N19" s="9"/>
      <c r="O19" s="26"/>
      <c r="P19" s="26"/>
      <c r="Q19" s="26"/>
    </row>
    <row r="20" spans="1:17" s="11" customFormat="1" x14ac:dyDescent="0.85">
      <c r="A20" s="14"/>
      <c r="B20" s="27" t="s">
        <v>21</v>
      </c>
      <c r="C20" s="25" t="s">
        <v>22</v>
      </c>
      <c r="D20" s="25"/>
      <c r="E20" s="9"/>
      <c r="F20" s="27"/>
      <c r="G20" s="25"/>
      <c r="H20" s="27"/>
      <c r="I20" s="9"/>
      <c r="J20" s="9"/>
      <c r="K20" s="9"/>
      <c r="L20" s="9"/>
      <c r="M20" s="9"/>
      <c r="N20" s="9"/>
      <c r="O20" s="26"/>
      <c r="P20" s="26"/>
      <c r="Q20" s="26"/>
    </row>
    <row r="21" spans="1:17" s="11" customFormat="1" x14ac:dyDescent="0.85">
      <c r="A21" s="14"/>
      <c r="B21" s="27" t="s">
        <v>23</v>
      </c>
      <c r="C21" s="25" t="s">
        <v>122</v>
      </c>
      <c r="D21" s="25"/>
      <c r="E21" s="9"/>
      <c r="F21" s="27"/>
      <c r="G21" s="25"/>
      <c r="H21" s="27"/>
      <c r="I21" s="9"/>
      <c r="J21" s="9"/>
      <c r="K21" s="9"/>
      <c r="L21" s="9"/>
      <c r="M21" s="9"/>
      <c r="N21" s="9"/>
      <c r="O21" s="26"/>
      <c r="P21" s="26"/>
      <c r="Q21" s="26"/>
    </row>
    <row r="22" spans="1:17" s="11" customFormat="1" x14ac:dyDescent="0.85">
      <c r="A22" s="14"/>
      <c r="B22" s="27"/>
      <c r="C22" s="25" t="s">
        <v>298</v>
      </c>
      <c r="D22" s="25"/>
      <c r="E22" s="9"/>
      <c r="F22" s="27"/>
      <c r="G22" s="25"/>
      <c r="H22" s="27"/>
      <c r="I22" s="9"/>
      <c r="J22" s="9"/>
      <c r="K22" s="9"/>
      <c r="L22" s="9"/>
      <c r="M22" s="9"/>
      <c r="N22" s="9"/>
      <c r="O22" s="26"/>
      <c r="P22" s="26"/>
      <c r="Q22" s="26"/>
    </row>
    <row r="23" spans="1:17" s="11" customFormat="1" x14ac:dyDescent="0.85">
      <c r="A23" s="14"/>
      <c r="B23" s="27"/>
      <c r="C23" s="25" t="s">
        <v>299</v>
      </c>
      <c r="D23" s="25"/>
      <c r="E23" s="9"/>
      <c r="F23" s="27"/>
      <c r="G23" s="25"/>
      <c r="H23" s="27"/>
      <c r="I23" s="9"/>
      <c r="J23" s="9"/>
      <c r="K23" s="9"/>
      <c r="L23" s="9"/>
      <c r="M23" s="9"/>
      <c r="N23" s="9"/>
      <c r="O23" s="26"/>
      <c r="P23" s="26"/>
      <c r="Q23" s="26"/>
    </row>
    <row r="24" spans="1:17" s="11" customFormat="1" x14ac:dyDescent="0.85">
      <c r="A24" s="14"/>
      <c r="B24" s="27"/>
      <c r="C24" s="25" t="s">
        <v>300</v>
      </c>
      <c r="D24" s="25"/>
      <c r="E24" s="9"/>
      <c r="F24" s="27"/>
      <c r="G24" s="25"/>
      <c r="H24" s="27"/>
      <c r="I24" s="9"/>
      <c r="J24" s="9"/>
      <c r="K24" s="9"/>
      <c r="L24" s="9"/>
      <c r="M24" s="9"/>
      <c r="N24" s="9"/>
      <c r="O24" s="26"/>
      <c r="P24" s="26"/>
      <c r="Q24" s="26"/>
    </row>
    <row r="25" spans="1:17" s="11" customFormat="1" x14ac:dyDescent="0.85">
      <c r="A25" s="14"/>
      <c r="B25" s="27"/>
      <c r="C25" s="25" t="s">
        <v>427</v>
      </c>
      <c r="D25" s="25"/>
      <c r="E25" s="9"/>
      <c r="F25" s="27"/>
      <c r="G25" s="25"/>
      <c r="H25" s="27"/>
      <c r="I25" s="9"/>
      <c r="J25" s="9"/>
      <c r="K25" s="9"/>
      <c r="L25" s="9"/>
      <c r="M25" s="9"/>
      <c r="N25" s="9"/>
      <c r="O25" s="26"/>
      <c r="P25" s="26"/>
      <c r="Q25" s="26"/>
    </row>
    <row r="26" spans="1:17" s="11" customFormat="1" x14ac:dyDescent="0.85">
      <c r="A26" s="14"/>
      <c r="B26" s="27"/>
      <c r="C26" s="25" t="s">
        <v>426</v>
      </c>
      <c r="D26" s="25"/>
      <c r="E26" s="9"/>
      <c r="F26" s="27"/>
      <c r="G26" s="25"/>
      <c r="H26" s="27"/>
      <c r="I26" s="9"/>
      <c r="J26" s="9"/>
      <c r="K26" s="9"/>
      <c r="L26" s="9"/>
      <c r="M26" s="9"/>
      <c r="N26" s="9"/>
      <c r="O26" s="26"/>
      <c r="P26" s="26"/>
      <c r="Q26" s="26"/>
    </row>
    <row r="27" spans="1:17" s="11" customFormat="1" x14ac:dyDescent="0.85">
      <c r="A27" s="14"/>
      <c r="B27" s="27"/>
      <c r="C27" s="25" t="s">
        <v>428</v>
      </c>
      <c r="D27" s="25"/>
      <c r="E27" s="9"/>
      <c r="F27" s="27"/>
      <c r="G27" s="25"/>
      <c r="H27" s="27"/>
      <c r="I27" s="9"/>
      <c r="J27" s="9"/>
      <c r="K27" s="9"/>
      <c r="L27" s="9"/>
      <c r="M27" s="9"/>
      <c r="N27" s="9"/>
      <c r="O27" s="26"/>
      <c r="P27" s="26"/>
      <c r="Q27" s="26"/>
    </row>
    <row r="28" spans="1:17" s="11" customFormat="1" x14ac:dyDescent="0.85">
      <c r="A28" s="14"/>
      <c r="B28" s="27"/>
      <c r="C28" s="122" t="s">
        <v>429</v>
      </c>
      <c r="D28" s="25"/>
      <c r="E28" s="9"/>
      <c r="F28" s="27"/>
      <c r="G28" s="25"/>
      <c r="H28" s="27"/>
      <c r="I28" s="9"/>
      <c r="J28" s="9"/>
      <c r="K28" s="9"/>
      <c r="L28" s="9"/>
      <c r="M28" s="9"/>
      <c r="N28" s="9"/>
      <c r="O28" s="26"/>
      <c r="P28" s="26"/>
      <c r="Q28" s="26"/>
    </row>
    <row r="29" spans="1:17" s="11" customFormat="1" x14ac:dyDescent="0.85">
      <c r="A29" s="14"/>
      <c r="B29" s="27"/>
      <c r="C29" s="122" t="s">
        <v>430</v>
      </c>
      <c r="D29" s="25"/>
      <c r="E29" s="9"/>
      <c r="F29" s="27"/>
      <c r="G29" s="25"/>
      <c r="H29" s="27"/>
      <c r="I29" s="9"/>
      <c r="J29" s="9"/>
      <c r="K29" s="9"/>
      <c r="L29" s="9"/>
      <c r="M29" s="9"/>
      <c r="N29" s="9"/>
      <c r="O29" s="26"/>
      <c r="P29" s="26"/>
      <c r="Q29" s="26"/>
    </row>
    <row r="30" spans="1:17" s="11" customFormat="1" x14ac:dyDescent="0.85">
      <c r="A30" s="14"/>
      <c r="B30" s="27"/>
      <c r="C30" s="122" t="s">
        <v>431</v>
      </c>
      <c r="D30" s="25"/>
      <c r="E30" s="9"/>
      <c r="F30" s="27"/>
      <c r="G30" s="25"/>
      <c r="H30" s="27"/>
      <c r="I30" s="9"/>
      <c r="J30" s="9"/>
      <c r="K30" s="9"/>
      <c r="L30" s="9"/>
      <c r="M30" s="9"/>
      <c r="N30" s="9"/>
      <c r="O30" s="26"/>
      <c r="P30" s="26"/>
      <c r="Q30" s="26"/>
    </row>
    <row r="31" spans="1:17" s="11" customFormat="1" x14ac:dyDescent="0.85">
      <c r="A31" s="14"/>
      <c r="B31" s="27"/>
      <c r="C31" s="122" t="s">
        <v>432</v>
      </c>
      <c r="D31" s="25"/>
      <c r="E31" s="9"/>
      <c r="F31" s="27"/>
      <c r="G31" s="25"/>
      <c r="H31" s="27"/>
      <c r="I31" s="9"/>
      <c r="J31" s="9"/>
      <c r="K31" s="9"/>
      <c r="L31" s="9"/>
      <c r="M31" s="9"/>
      <c r="N31" s="9"/>
      <c r="O31" s="26"/>
      <c r="P31" s="26"/>
      <c r="Q31" s="26"/>
    </row>
    <row r="32" spans="1:17" s="11" customFormat="1" x14ac:dyDescent="0.85">
      <c r="A32" s="14"/>
      <c r="B32" s="27"/>
      <c r="C32" s="25" t="s">
        <v>433</v>
      </c>
      <c r="D32" s="25"/>
      <c r="E32" s="9"/>
      <c r="F32" s="27"/>
      <c r="G32" s="25"/>
      <c r="H32" s="27"/>
      <c r="I32" s="9"/>
      <c r="J32" s="9"/>
      <c r="K32" s="9"/>
      <c r="L32" s="9"/>
      <c r="M32" s="9"/>
      <c r="N32" s="9"/>
      <c r="O32" s="26"/>
      <c r="P32" s="26"/>
      <c r="Q32" s="26"/>
    </row>
    <row r="33" spans="1:17" s="11" customFormat="1" x14ac:dyDescent="0.85">
      <c r="A33" s="14"/>
      <c r="B33" s="27"/>
      <c r="C33" s="122" t="s">
        <v>434</v>
      </c>
      <c r="D33" s="25"/>
      <c r="E33" s="9"/>
      <c r="F33" s="27"/>
      <c r="G33" s="25"/>
      <c r="H33" s="27"/>
      <c r="I33" s="9"/>
      <c r="J33" s="9"/>
      <c r="K33" s="9"/>
      <c r="L33" s="9"/>
      <c r="M33" s="9"/>
      <c r="N33" s="9"/>
      <c r="O33" s="26"/>
      <c r="P33" s="26"/>
      <c r="Q33" s="26"/>
    </row>
    <row r="34" spans="1:17" s="11" customFormat="1" x14ac:dyDescent="0.85">
      <c r="A34" s="14"/>
      <c r="B34" s="27"/>
      <c r="C34" s="122" t="s">
        <v>435</v>
      </c>
      <c r="D34" s="25"/>
      <c r="E34" s="9"/>
      <c r="F34" s="27"/>
      <c r="G34" s="25"/>
      <c r="H34" s="27"/>
      <c r="I34" s="9"/>
      <c r="J34" s="9"/>
      <c r="K34" s="9"/>
      <c r="L34" s="9"/>
      <c r="M34" s="9"/>
      <c r="N34" s="9"/>
      <c r="O34" s="26"/>
      <c r="P34" s="26"/>
      <c r="Q34" s="26"/>
    </row>
    <row r="35" spans="1:17" s="11" customFormat="1" x14ac:dyDescent="0.85">
      <c r="A35" s="14"/>
      <c r="B35" s="27"/>
      <c r="C35" s="122" t="s">
        <v>436</v>
      </c>
      <c r="D35" s="25"/>
      <c r="E35" s="9"/>
      <c r="F35" s="27"/>
      <c r="G35" s="25"/>
      <c r="H35" s="27"/>
      <c r="I35" s="9"/>
      <c r="J35" s="9"/>
      <c r="K35" s="9"/>
      <c r="L35" s="9"/>
      <c r="M35" s="9"/>
      <c r="N35" s="9"/>
      <c r="O35" s="26"/>
      <c r="P35" s="26"/>
      <c r="Q35" s="26"/>
    </row>
    <row r="36" spans="1:17" s="11" customFormat="1" x14ac:dyDescent="0.85">
      <c r="A36" s="14"/>
      <c r="B36" s="27"/>
      <c r="C36" s="122" t="s">
        <v>437</v>
      </c>
      <c r="D36" s="25"/>
      <c r="E36" s="9"/>
      <c r="F36" s="27"/>
      <c r="G36" s="25"/>
      <c r="H36" s="27"/>
      <c r="I36" s="9"/>
      <c r="J36" s="9"/>
      <c r="K36" s="9"/>
      <c r="L36" s="9"/>
      <c r="M36" s="9"/>
      <c r="N36" s="9"/>
      <c r="O36" s="26"/>
      <c r="P36" s="26"/>
      <c r="Q36" s="26"/>
    </row>
    <row r="37" spans="1:17" x14ac:dyDescent="0.85">
      <c r="A37" s="14"/>
      <c r="B37" s="27" t="s">
        <v>25</v>
      </c>
      <c r="C37" s="27" t="s">
        <v>26</v>
      </c>
      <c r="D37" s="25"/>
      <c r="E37" s="9"/>
      <c r="F37" s="27"/>
      <c r="G37" s="25"/>
      <c r="H37" s="27"/>
      <c r="I37" s="133"/>
      <c r="J37" s="2"/>
      <c r="K37" s="2"/>
      <c r="L37" s="2"/>
      <c r="M37" s="2"/>
      <c r="N37" s="2"/>
      <c r="O37" s="2"/>
      <c r="P37" s="2"/>
      <c r="Q37" s="2"/>
    </row>
    <row r="38" spans="1:17" x14ac:dyDescent="0.85">
      <c r="A38" s="14"/>
      <c r="B38" s="27" t="s">
        <v>27</v>
      </c>
      <c r="C38" s="28">
        <f>AVERAGE(80,150)</f>
        <v>115</v>
      </c>
      <c r="D38" s="25" t="s">
        <v>28</v>
      </c>
      <c r="E38" s="9"/>
      <c r="F38" s="27" t="s">
        <v>12</v>
      </c>
      <c r="G38" s="25" t="s">
        <v>29</v>
      </c>
      <c r="H38" s="27"/>
      <c r="I38" s="133"/>
      <c r="J38" s="2"/>
      <c r="K38" s="2"/>
      <c r="L38" s="2"/>
      <c r="M38" s="2"/>
      <c r="N38" s="2"/>
      <c r="O38" s="2"/>
      <c r="P38" s="2"/>
      <c r="Q38" s="2"/>
    </row>
    <row r="39" spans="1:17" x14ac:dyDescent="0.85">
      <c r="A39" s="14"/>
      <c r="B39" s="27" t="s">
        <v>24</v>
      </c>
      <c r="C39" s="28">
        <f>C13/C38</f>
        <v>173.91304347826087</v>
      </c>
      <c r="D39" s="25" t="s">
        <v>129</v>
      </c>
      <c r="E39" s="9"/>
      <c r="F39" s="27"/>
      <c r="G39" s="25"/>
      <c r="H39" s="27"/>
      <c r="I39" s="133"/>
      <c r="J39" s="2"/>
      <c r="K39" s="2"/>
      <c r="L39" s="2"/>
      <c r="M39" s="2"/>
      <c r="N39" s="2"/>
      <c r="O39" s="2"/>
      <c r="P39" s="2"/>
      <c r="Q39" s="2"/>
    </row>
    <row r="40" spans="1:17" x14ac:dyDescent="0.85">
      <c r="A40" s="14"/>
      <c r="B40" s="27" t="s">
        <v>127</v>
      </c>
      <c r="C40" s="28">
        <f>C18/C38</f>
        <v>104.34782608695652</v>
      </c>
      <c r="D40" s="25" t="s">
        <v>130</v>
      </c>
      <c r="E40" s="9"/>
      <c r="F40" s="27"/>
      <c r="G40" s="25"/>
      <c r="H40" s="27"/>
      <c r="I40" s="133"/>
      <c r="J40" s="2"/>
      <c r="K40" s="2"/>
      <c r="L40" s="2"/>
      <c r="M40" s="2"/>
      <c r="N40" s="2"/>
      <c r="O40" s="2"/>
      <c r="P40" s="2"/>
      <c r="Q40" s="2"/>
    </row>
    <row r="41" spans="1:17" x14ac:dyDescent="0.85">
      <c r="A41" s="57"/>
      <c r="B41" s="27" t="s">
        <v>128</v>
      </c>
      <c r="C41" s="28">
        <f>C39-C40</f>
        <v>69.565217391304358</v>
      </c>
      <c r="D41" s="25" t="s">
        <v>129</v>
      </c>
      <c r="E41" s="9"/>
      <c r="F41" s="27"/>
      <c r="G41" s="25"/>
      <c r="H41" s="27"/>
      <c r="I41" s="133"/>
      <c r="J41" s="2"/>
      <c r="K41" s="2"/>
      <c r="L41" s="2"/>
      <c r="M41" s="2"/>
      <c r="N41" s="2"/>
      <c r="O41" s="2"/>
      <c r="P41" s="2"/>
      <c r="Q41" s="2"/>
    </row>
    <row r="42" spans="1:17" x14ac:dyDescent="0.85">
      <c r="A42" s="14"/>
      <c r="B42" s="27" t="s">
        <v>30</v>
      </c>
      <c r="C42" s="28">
        <v>15</v>
      </c>
      <c r="D42" s="25" t="s">
        <v>31</v>
      </c>
      <c r="E42" s="9"/>
      <c r="F42" s="27"/>
      <c r="G42" s="25"/>
      <c r="H42" s="27"/>
      <c r="I42" s="133"/>
      <c r="J42" s="2"/>
      <c r="K42" s="2"/>
      <c r="L42" s="2"/>
      <c r="M42" s="2"/>
      <c r="N42" s="2"/>
      <c r="O42" s="2"/>
      <c r="P42" s="2"/>
      <c r="Q42" s="2"/>
    </row>
    <row r="43" spans="1:17" x14ac:dyDescent="0.85">
      <c r="A43" s="14"/>
      <c r="B43" s="27" t="s">
        <v>32</v>
      </c>
      <c r="C43" s="28">
        <f>C42*C39</f>
        <v>2608.695652173913</v>
      </c>
      <c r="D43" s="25" t="s">
        <v>131</v>
      </c>
      <c r="E43" s="9"/>
      <c r="F43" s="27"/>
      <c r="G43" s="25"/>
      <c r="H43" s="27"/>
      <c r="I43" s="133"/>
      <c r="J43" s="2"/>
      <c r="K43" s="2"/>
      <c r="L43" s="2"/>
      <c r="M43" s="2"/>
      <c r="N43" s="2"/>
      <c r="O43" s="2"/>
      <c r="P43" s="2"/>
      <c r="Q43" s="2"/>
    </row>
    <row r="44" spans="1:17" x14ac:dyDescent="0.85">
      <c r="A44" s="14"/>
      <c r="B44" s="27"/>
      <c r="C44" s="28">
        <f>C42*C40</f>
        <v>1565.2173913043478</v>
      </c>
      <c r="D44" s="25" t="s">
        <v>132</v>
      </c>
      <c r="E44" s="9"/>
      <c r="F44" s="27"/>
      <c r="G44" s="25"/>
      <c r="H44" s="27"/>
      <c r="I44" s="133"/>
      <c r="J44" s="2"/>
      <c r="K44" s="2"/>
      <c r="L44" s="2"/>
      <c r="M44" s="2"/>
      <c r="N44" s="2"/>
      <c r="O44" s="2"/>
      <c r="P44" s="2"/>
      <c r="Q44" s="2"/>
    </row>
    <row r="45" spans="1:17" x14ac:dyDescent="0.85">
      <c r="A45" s="14"/>
      <c r="B45" s="27"/>
      <c r="C45" s="28">
        <f>C43-C44</f>
        <v>1043.4782608695652</v>
      </c>
      <c r="D45" s="25" t="s">
        <v>133</v>
      </c>
      <c r="E45" s="9"/>
      <c r="F45" s="27"/>
      <c r="G45" s="25"/>
      <c r="H45" s="27"/>
      <c r="I45" s="133"/>
      <c r="J45" s="2"/>
      <c r="K45" s="2"/>
      <c r="L45" s="2"/>
      <c r="M45" s="2"/>
      <c r="N45" s="2"/>
      <c r="O45" s="2"/>
      <c r="P45" s="2"/>
      <c r="Q45" s="2"/>
    </row>
    <row r="46" spans="1:17" x14ac:dyDescent="0.85">
      <c r="A46" s="14"/>
      <c r="B46" s="27" t="s">
        <v>50</v>
      </c>
      <c r="C46" s="27" t="s">
        <v>51</v>
      </c>
      <c r="D46" s="25"/>
      <c r="E46" s="9"/>
      <c r="F46" s="27"/>
      <c r="G46" s="25"/>
      <c r="H46" s="27"/>
      <c r="I46" s="133"/>
      <c r="J46" s="2"/>
      <c r="K46" s="2"/>
      <c r="L46" s="2"/>
      <c r="M46" s="2"/>
      <c r="N46" s="2"/>
      <c r="O46" s="2"/>
      <c r="P46" s="2"/>
      <c r="Q46" s="2"/>
    </row>
    <row r="47" spans="1:17" ht="54.9" x14ac:dyDescent="0.85">
      <c r="A47" s="14"/>
      <c r="B47" s="25" t="s">
        <v>284</v>
      </c>
      <c r="C47" s="27"/>
      <c r="D47" s="25"/>
      <c r="E47" s="136" t="s">
        <v>481</v>
      </c>
      <c r="F47" s="137" t="s">
        <v>480</v>
      </c>
      <c r="G47" s="138" t="s">
        <v>517</v>
      </c>
      <c r="H47" s="138" t="s">
        <v>478</v>
      </c>
      <c r="I47" s="138" t="s">
        <v>479</v>
      </c>
      <c r="J47" s="139" t="s">
        <v>490</v>
      </c>
      <c r="K47" s="139" t="s">
        <v>523</v>
      </c>
      <c r="L47" s="2"/>
      <c r="M47" s="2"/>
      <c r="N47" s="2"/>
      <c r="O47" s="2"/>
      <c r="P47" s="2"/>
      <c r="Q47" s="2"/>
    </row>
    <row r="48" spans="1:17" x14ac:dyDescent="0.85">
      <c r="A48" s="14"/>
      <c r="B48" s="27" t="s">
        <v>285</v>
      </c>
      <c r="C48" s="25" t="s">
        <v>286</v>
      </c>
      <c r="D48" s="25"/>
      <c r="E48" s="140"/>
      <c r="F48" s="141"/>
      <c r="G48" s="142"/>
      <c r="H48" s="142"/>
      <c r="I48" s="143"/>
      <c r="J48" s="144"/>
      <c r="K48" s="144"/>
      <c r="L48" s="2"/>
      <c r="M48" s="2"/>
      <c r="N48" s="2"/>
      <c r="O48" s="2"/>
      <c r="P48" s="2"/>
      <c r="Q48" s="2"/>
    </row>
    <row r="49" spans="1:17" x14ac:dyDescent="0.85">
      <c r="A49" s="14"/>
      <c r="B49" s="27"/>
      <c r="C49" s="25" t="s">
        <v>287</v>
      </c>
      <c r="D49" s="25"/>
      <c r="E49" s="140"/>
      <c r="F49" s="141"/>
      <c r="G49" s="142"/>
      <c r="H49" s="142"/>
      <c r="I49" s="143"/>
      <c r="J49" s="144"/>
      <c r="K49" s="144"/>
      <c r="L49" s="2"/>
      <c r="M49" s="2"/>
      <c r="N49" s="2"/>
      <c r="O49" s="2"/>
      <c r="P49" s="2"/>
      <c r="Q49" s="2"/>
    </row>
    <row r="50" spans="1:17" x14ac:dyDescent="0.85">
      <c r="A50" s="14"/>
      <c r="B50" s="27"/>
      <c r="C50" s="25" t="s">
        <v>288</v>
      </c>
      <c r="D50" s="25"/>
      <c r="E50" s="140"/>
      <c r="F50" s="141"/>
      <c r="G50" s="142"/>
      <c r="H50" s="142"/>
      <c r="I50" s="143"/>
      <c r="J50" s="144"/>
      <c r="K50" s="144"/>
      <c r="L50" s="2"/>
      <c r="M50" s="2"/>
      <c r="N50" s="2"/>
      <c r="O50" s="2"/>
      <c r="P50" s="2"/>
      <c r="Q50" s="2"/>
    </row>
    <row r="51" spans="1:17" x14ac:dyDescent="0.85">
      <c r="A51" s="14"/>
      <c r="B51" s="27"/>
      <c r="C51" s="25" t="s">
        <v>289</v>
      </c>
      <c r="D51" s="25"/>
      <c r="E51" s="140"/>
      <c r="F51" s="141"/>
      <c r="G51" s="142"/>
      <c r="H51" s="142"/>
      <c r="I51" s="143"/>
      <c r="J51" s="144"/>
      <c r="K51" s="144"/>
      <c r="L51" s="2"/>
      <c r="M51" s="127" t="s">
        <v>506</v>
      </c>
      <c r="N51" s="2"/>
      <c r="O51" s="2"/>
      <c r="P51" s="2"/>
      <c r="Q51" s="2"/>
    </row>
    <row r="52" spans="1:17" x14ac:dyDescent="0.85">
      <c r="A52" s="14"/>
      <c r="B52" s="27" t="s">
        <v>292</v>
      </c>
      <c r="C52" s="128" t="s">
        <v>491</v>
      </c>
      <c r="D52" s="128"/>
      <c r="E52" s="145">
        <f>55*15</f>
        <v>825</v>
      </c>
      <c r="F52" s="146">
        <v>3</v>
      </c>
      <c r="G52" s="146">
        <f t="shared" ref="G52:G60" si="0">((F52/$O$53)*$O$55)</f>
        <v>44.999999999999993</v>
      </c>
      <c r="H52" s="146">
        <f t="shared" ref="H52:H60" si="1">G52/$O$56</f>
        <v>384.78535353535347</v>
      </c>
      <c r="I52" s="146">
        <f t="shared" ref="I52:I60" si="2">(E52/$O$61)*$O$63</f>
        <v>1046.3555239674643</v>
      </c>
      <c r="J52" s="147">
        <f t="shared" ref="J52:J60" si="3">(E52/$O$61)*$O$65</f>
        <v>3.4203980099502491</v>
      </c>
      <c r="K52" s="157">
        <v>12</v>
      </c>
      <c r="L52" s="65"/>
      <c r="M52" s="127" t="s">
        <v>515</v>
      </c>
      <c r="N52" s="2"/>
      <c r="O52" s="2"/>
      <c r="P52" s="2"/>
      <c r="Q52" s="2"/>
    </row>
    <row r="53" spans="1:17" x14ac:dyDescent="0.85">
      <c r="A53" s="14"/>
      <c r="B53" s="27"/>
      <c r="C53" s="129" t="s">
        <v>492</v>
      </c>
      <c r="D53" s="129"/>
      <c r="E53" s="148">
        <f>(55*15)</f>
        <v>825</v>
      </c>
      <c r="F53" s="149">
        <v>3</v>
      </c>
      <c r="G53" s="149">
        <f t="shared" si="0"/>
        <v>44.999999999999993</v>
      </c>
      <c r="H53" s="149">
        <f t="shared" si="1"/>
        <v>384.78535353535347</v>
      </c>
      <c r="I53" s="149">
        <f t="shared" si="2"/>
        <v>1046.3555239674643</v>
      </c>
      <c r="J53" s="150">
        <f t="shared" si="3"/>
        <v>3.4203980099502491</v>
      </c>
      <c r="K53" s="158">
        <v>12</v>
      </c>
      <c r="L53" s="65"/>
      <c r="N53" s="130" t="s">
        <v>509</v>
      </c>
      <c r="O53" s="65">
        <f>C39</f>
        <v>173.91304347826087</v>
      </c>
      <c r="P53" s="127" t="s">
        <v>129</v>
      </c>
      <c r="Q53" s="2"/>
    </row>
    <row r="54" spans="1:17" x14ac:dyDescent="0.85">
      <c r="A54" s="14"/>
      <c r="B54" s="27"/>
      <c r="C54" s="128" t="s">
        <v>295</v>
      </c>
      <c r="D54" s="128"/>
      <c r="E54" s="145">
        <f>(15*50)+(15*5)</f>
        <v>825</v>
      </c>
      <c r="F54" s="146">
        <v>3</v>
      </c>
      <c r="G54" s="146">
        <f t="shared" si="0"/>
        <v>44.999999999999993</v>
      </c>
      <c r="H54" s="146">
        <f t="shared" si="1"/>
        <v>384.78535353535347</v>
      </c>
      <c r="I54" s="146">
        <f t="shared" si="2"/>
        <v>1046.3555239674643</v>
      </c>
      <c r="J54" s="147">
        <f t="shared" si="3"/>
        <v>3.4203980099502491</v>
      </c>
      <c r="K54" s="157">
        <v>12</v>
      </c>
      <c r="L54" s="65"/>
      <c r="M54" s="127" t="s">
        <v>516</v>
      </c>
      <c r="N54" s="2"/>
      <c r="O54" s="2"/>
      <c r="P54" s="2"/>
      <c r="Q54" s="2"/>
    </row>
    <row r="55" spans="1:17" x14ac:dyDescent="0.85">
      <c r="A55" s="14"/>
      <c r="B55" s="27"/>
      <c r="C55" s="129" t="s">
        <v>493</v>
      </c>
      <c r="D55" s="129"/>
      <c r="E55" s="148">
        <f>(45*15)+(10*10)</f>
        <v>775</v>
      </c>
      <c r="F55" s="149">
        <v>3</v>
      </c>
      <c r="G55" s="149">
        <f t="shared" si="0"/>
        <v>44.999999999999993</v>
      </c>
      <c r="H55" s="149">
        <f t="shared" si="1"/>
        <v>384.78535353535347</v>
      </c>
      <c r="I55" s="149">
        <f t="shared" si="2"/>
        <v>982.94003766640583</v>
      </c>
      <c r="J55" s="150">
        <f t="shared" si="3"/>
        <v>3.2131011608623554</v>
      </c>
      <c r="K55" s="158">
        <v>12</v>
      </c>
      <c r="L55" s="65"/>
      <c r="N55" s="130" t="s">
        <v>510</v>
      </c>
      <c r="O55" s="65">
        <f>C43</f>
        <v>2608.695652173913</v>
      </c>
      <c r="P55" s="127" t="s">
        <v>33</v>
      </c>
      <c r="Q55" s="2"/>
    </row>
    <row r="56" spans="1:17" x14ac:dyDescent="0.85">
      <c r="A56" s="14"/>
      <c r="B56" s="27"/>
      <c r="C56" s="128" t="s">
        <v>494</v>
      </c>
      <c r="D56" s="128"/>
      <c r="E56" s="145">
        <f>(15*65)</f>
        <v>975</v>
      </c>
      <c r="F56" s="146">
        <v>4</v>
      </c>
      <c r="G56" s="146">
        <f t="shared" si="0"/>
        <v>60</v>
      </c>
      <c r="H56" s="146">
        <f t="shared" si="1"/>
        <v>513.04713804713799</v>
      </c>
      <c r="I56" s="146">
        <f t="shared" si="2"/>
        <v>1236.6019828706396</v>
      </c>
      <c r="J56" s="147">
        <f t="shared" si="3"/>
        <v>4.0422885572139311</v>
      </c>
      <c r="K56" s="157">
        <v>12</v>
      </c>
      <c r="L56" s="65"/>
      <c r="N56" s="130" t="s">
        <v>332</v>
      </c>
      <c r="O56" s="135">
        <f>O55/O63</f>
        <v>0.11694831829368335</v>
      </c>
      <c r="P56" s="127"/>
      <c r="Q56" s="2"/>
    </row>
    <row r="57" spans="1:17" x14ac:dyDescent="0.85">
      <c r="A57" s="14"/>
      <c r="B57" s="27"/>
      <c r="C57" s="129" t="s">
        <v>289</v>
      </c>
      <c r="D57" s="129"/>
      <c r="E57" s="148">
        <f>15*50</f>
        <v>750</v>
      </c>
      <c r="F57" s="149">
        <v>2</v>
      </c>
      <c r="G57" s="149">
        <f t="shared" si="0"/>
        <v>30</v>
      </c>
      <c r="H57" s="149">
        <f t="shared" si="1"/>
        <v>256.523569023569</v>
      </c>
      <c r="I57" s="149">
        <f t="shared" si="2"/>
        <v>951.23229451587656</v>
      </c>
      <c r="J57" s="150">
        <f t="shared" si="3"/>
        <v>3.1094527363184081</v>
      </c>
      <c r="K57" s="158">
        <v>12</v>
      </c>
      <c r="L57" s="65"/>
      <c r="N57" s="130" t="s">
        <v>511</v>
      </c>
      <c r="O57" s="2">
        <v>15</v>
      </c>
      <c r="P57" s="127"/>
      <c r="Q57" s="2"/>
    </row>
    <row r="58" spans="1:17" x14ac:dyDescent="0.85">
      <c r="A58" s="14"/>
      <c r="B58" s="27"/>
      <c r="C58" s="128" t="s">
        <v>290</v>
      </c>
      <c r="D58" s="128"/>
      <c r="E58" s="145">
        <f>(15*15)+(5*10)+(0.5*(5*5))</f>
        <v>287.5</v>
      </c>
      <c r="F58" s="146">
        <v>25</v>
      </c>
      <c r="G58" s="146">
        <f t="shared" si="0"/>
        <v>374.99999999999994</v>
      </c>
      <c r="H58" s="146">
        <f t="shared" si="1"/>
        <v>3206.544612794612</v>
      </c>
      <c r="I58" s="146">
        <f t="shared" si="2"/>
        <v>364.63904623108607</v>
      </c>
      <c r="J58" s="147">
        <f t="shared" si="3"/>
        <v>1.1919568822553899</v>
      </c>
      <c r="K58" s="157">
        <v>12</v>
      </c>
      <c r="L58" s="65"/>
      <c r="N58" s="130" t="s">
        <v>512</v>
      </c>
      <c r="O58" s="2">
        <v>20</v>
      </c>
      <c r="P58" s="127"/>
      <c r="Q58" s="2"/>
    </row>
    <row r="59" spans="1:17" x14ac:dyDescent="0.85">
      <c r="A59" s="14"/>
      <c r="B59" s="27" t="s">
        <v>291</v>
      </c>
      <c r="C59" s="129" t="s">
        <v>495</v>
      </c>
      <c r="D59" s="129"/>
      <c r="E59" s="148">
        <f>(20*50)+(25*5)+(20*25)+(5*10)</f>
        <v>1675</v>
      </c>
      <c r="F59" s="149">
        <f>E59/(($O$67*$O$68)+$O$69)</f>
        <v>19.03409090909091</v>
      </c>
      <c r="G59" s="149">
        <f t="shared" si="0"/>
        <v>285.51136363636363</v>
      </c>
      <c r="H59" s="149">
        <f t="shared" si="1"/>
        <v>2441.3464665595347</v>
      </c>
      <c r="I59" s="149">
        <f t="shared" si="2"/>
        <v>2124.4187910854575</v>
      </c>
      <c r="J59" s="150">
        <f t="shared" si="3"/>
        <v>6.9444444444444446</v>
      </c>
      <c r="K59" s="158">
        <v>14</v>
      </c>
      <c r="L59" s="65"/>
      <c r="N59" s="130" t="s">
        <v>513</v>
      </c>
      <c r="O59" s="2">
        <v>30</v>
      </c>
      <c r="Q59" s="2"/>
    </row>
    <row r="60" spans="1:17" x14ac:dyDescent="0.85">
      <c r="A60" s="14"/>
      <c r="B60" s="27"/>
      <c r="C60" s="128" t="s">
        <v>496</v>
      </c>
      <c r="D60" s="128"/>
      <c r="E60" s="145">
        <f>(55*20)+(15*20)+(10*15)+(10*10)</f>
        <v>1650</v>
      </c>
      <c r="F60" s="146">
        <f>E60/(($O$67*$O$68)+$O$69)</f>
        <v>18.75</v>
      </c>
      <c r="G60" s="146">
        <f t="shared" si="0"/>
        <v>281.25</v>
      </c>
      <c r="H60" s="146">
        <f t="shared" si="1"/>
        <v>2404.9084595959594</v>
      </c>
      <c r="I60" s="146">
        <f t="shared" si="2"/>
        <v>2092.7110479349285</v>
      </c>
      <c r="J60" s="147">
        <f t="shared" si="3"/>
        <v>6.8407960199004982</v>
      </c>
      <c r="K60" s="157">
        <v>14</v>
      </c>
      <c r="L60" s="65"/>
      <c r="M60" s="127" t="s">
        <v>518</v>
      </c>
      <c r="N60" s="130"/>
      <c r="O60" s="2"/>
      <c r="P60" s="127"/>
      <c r="Q60" s="2"/>
    </row>
    <row r="61" spans="1:17" x14ac:dyDescent="0.85">
      <c r="A61" s="14"/>
      <c r="B61" s="27" t="s">
        <v>296</v>
      </c>
      <c r="C61" s="128" t="s">
        <v>286</v>
      </c>
      <c r="D61" s="25"/>
      <c r="E61" s="140"/>
      <c r="F61" s="151"/>
      <c r="G61" s="151"/>
      <c r="H61" s="151"/>
      <c r="I61" s="151"/>
      <c r="J61" s="152"/>
      <c r="K61" s="152"/>
      <c r="L61" s="2"/>
      <c r="N61" s="130" t="s">
        <v>507</v>
      </c>
      <c r="O61" s="2">
        <f>SUM(E52:E60,E65:E73)</f>
        <v>17587.5</v>
      </c>
      <c r="P61" s="127" t="s">
        <v>15</v>
      </c>
      <c r="Q61" s="2"/>
    </row>
    <row r="62" spans="1:17" x14ac:dyDescent="0.85">
      <c r="A62" s="14"/>
      <c r="B62" s="27"/>
      <c r="C62" s="25" t="s">
        <v>287</v>
      </c>
      <c r="D62" s="25"/>
      <c r="E62" s="140"/>
      <c r="F62" s="151"/>
      <c r="G62" s="151"/>
      <c r="H62" s="151"/>
      <c r="I62" s="151"/>
      <c r="J62" s="152"/>
      <c r="K62" s="152"/>
      <c r="L62" s="2"/>
      <c r="N62" s="156" t="s">
        <v>514</v>
      </c>
      <c r="O62" s="2">
        <v>20000</v>
      </c>
      <c r="P62" s="127" t="s">
        <v>15</v>
      </c>
      <c r="Q62" s="2"/>
    </row>
    <row r="63" spans="1:17" x14ac:dyDescent="0.85">
      <c r="A63" s="14"/>
      <c r="B63" s="27"/>
      <c r="C63" s="128" t="s">
        <v>288</v>
      </c>
      <c r="D63" s="25"/>
      <c r="E63" s="140"/>
      <c r="F63" s="151"/>
      <c r="G63" s="151"/>
      <c r="H63" s="151"/>
      <c r="I63" s="151"/>
      <c r="J63" s="152"/>
      <c r="K63" s="152"/>
      <c r="L63" s="2"/>
      <c r="N63" s="156" t="s">
        <v>260</v>
      </c>
      <c r="O63" s="127">
        <f>C97</f>
        <v>22306.397306397306</v>
      </c>
      <c r="P63" s="127" t="s">
        <v>33</v>
      </c>
      <c r="Q63" s="2"/>
    </row>
    <row r="64" spans="1:17" x14ac:dyDescent="0.85">
      <c r="A64" s="14"/>
      <c r="B64" s="27"/>
      <c r="C64" s="25" t="s">
        <v>289</v>
      </c>
      <c r="D64" s="25"/>
      <c r="E64" s="140"/>
      <c r="F64" s="151"/>
      <c r="G64" s="151"/>
      <c r="H64" s="151"/>
      <c r="I64" s="151"/>
      <c r="J64" s="152"/>
      <c r="K64" s="152"/>
      <c r="L64" s="2"/>
      <c r="M64" s="127" t="s">
        <v>519</v>
      </c>
      <c r="Q64" s="2"/>
    </row>
    <row r="65" spans="1:17" x14ac:dyDescent="0.85">
      <c r="A65" s="14"/>
      <c r="B65" s="27" t="s">
        <v>297</v>
      </c>
      <c r="C65" s="128" t="s">
        <v>491</v>
      </c>
      <c r="D65" s="128"/>
      <c r="E65" s="145">
        <f>(15*35)+(25*20)</f>
        <v>1025</v>
      </c>
      <c r="F65" s="146">
        <v>3</v>
      </c>
      <c r="G65" s="146">
        <f t="shared" ref="G65:G74" si="4">((F65/$O$53)*$O$55)</f>
        <v>44.999999999999993</v>
      </c>
      <c r="H65" s="146">
        <f t="shared" ref="H65:H73" si="5">G65/$O$56</f>
        <v>384.78535353535347</v>
      </c>
      <c r="I65" s="146">
        <f t="shared" ref="I65:I73" si="6">(E65/$O$61)*$O$63</f>
        <v>1300.0174691716982</v>
      </c>
      <c r="J65" s="147">
        <f t="shared" ref="J65:J73" si="7">(E65/$O$61)*$O$65</f>
        <v>4.2495854063018248</v>
      </c>
      <c r="K65" s="157">
        <v>12</v>
      </c>
      <c r="L65" s="65"/>
      <c r="M65" s="2"/>
      <c r="N65" s="130" t="s">
        <v>508</v>
      </c>
      <c r="O65" s="65">
        <f>2*'Typical Reheat Coil'!D20</f>
        <v>72.916666666666671</v>
      </c>
      <c r="P65" s="127" t="s">
        <v>190</v>
      </c>
      <c r="Q65" s="2"/>
    </row>
    <row r="66" spans="1:17" x14ac:dyDescent="0.85">
      <c r="A66" s="14"/>
      <c r="B66" s="27"/>
      <c r="C66" s="129" t="s">
        <v>492</v>
      </c>
      <c r="D66" s="129"/>
      <c r="E66" s="148">
        <f>(45*20)</f>
        <v>900</v>
      </c>
      <c r="F66" s="149">
        <v>3</v>
      </c>
      <c r="G66" s="149">
        <f t="shared" si="4"/>
        <v>44.999999999999993</v>
      </c>
      <c r="H66" s="149">
        <f t="shared" si="5"/>
        <v>384.78535353535347</v>
      </c>
      <c r="I66" s="149">
        <f t="shared" si="6"/>
        <v>1141.4787534190518</v>
      </c>
      <c r="J66" s="150">
        <f t="shared" si="7"/>
        <v>3.7313432835820897</v>
      </c>
      <c r="K66" s="158">
        <v>12</v>
      </c>
      <c r="L66" s="65"/>
      <c r="M66" s="127" t="s">
        <v>520</v>
      </c>
      <c r="N66" s="2"/>
      <c r="O66" s="2"/>
      <c r="P66" s="2"/>
      <c r="Q66" s="2"/>
    </row>
    <row r="67" spans="1:17" x14ac:dyDescent="0.85">
      <c r="A67" s="14"/>
      <c r="B67" s="27"/>
      <c r="C67" s="128" t="s">
        <v>295</v>
      </c>
      <c r="D67" s="128"/>
      <c r="E67" s="145">
        <f>(20*50)+(5*25)</f>
        <v>1125</v>
      </c>
      <c r="F67" s="146">
        <v>2</v>
      </c>
      <c r="G67" s="146">
        <f t="shared" si="4"/>
        <v>30</v>
      </c>
      <c r="H67" s="146">
        <f t="shared" si="5"/>
        <v>256.523569023569</v>
      </c>
      <c r="I67" s="146">
        <f t="shared" si="6"/>
        <v>1426.848441773815</v>
      </c>
      <c r="J67" s="147">
        <f t="shared" si="7"/>
        <v>4.6641791044776122</v>
      </c>
      <c r="K67" s="157">
        <v>12</v>
      </c>
      <c r="L67" s="65"/>
      <c r="M67" s="2"/>
      <c r="N67" s="156" t="s">
        <v>521</v>
      </c>
      <c r="O67" s="2">
        <v>8</v>
      </c>
      <c r="P67" s="127" t="s">
        <v>20</v>
      </c>
      <c r="Q67" s="2"/>
    </row>
    <row r="68" spans="1:17" x14ac:dyDescent="0.85">
      <c r="A68" s="14"/>
      <c r="B68" s="27"/>
      <c r="C68" s="129" t="s">
        <v>493</v>
      </c>
      <c r="D68" s="129"/>
      <c r="E68" s="148">
        <f>(35*20)+(25*15)+(10*10)</f>
        <v>1175</v>
      </c>
      <c r="F68" s="149">
        <v>5</v>
      </c>
      <c r="G68" s="149">
        <f t="shared" si="4"/>
        <v>75</v>
      </c>
      <c r="H68" s="149">
        <f t="shared" si="5"/>
        <v>641.30892255892252</v>
      </c>
      <c r="I68" s="149">
        <f t="shared" si="6"/>
        <v>1490.2639280748733</v>
      </c>
      <c r="J68" s="150">
        <f t="shared" si="7"/>
        <v>4.8714759535655059</v>
      </c>
      <c r="K68" s="158">
        <v>12</v>
      </c>
      <c r="L68" s="65"/>
      <c r="M68" s="2"/>
      <c r="N68" s="156" t="s">
        <v>314</v>
      </c>
      <c r="O68" s="127">
        <v>8</v>
      </c>
      <c r="P68" s="127" t="s">
        <v>20</v>
      </c>
      <c r="Q68" s="2"/>
    </row>
    <row r="69" spans="1:17" x14ac:dyDescent="0.85">
      <c r="A69" s="14"/>
      <c r="B69" s="27"/>
      <c r="C69" s="128" t="s">
        <v>494</v>
      </c>
      <c r="D69" s="128"/>
      <c r="E69" s="145">
        <f>(65*15)+(5*15)</f>
        <v>1050</v>
      </c>
      <c r="F69" s="146">
        <f>$O$53*(E69/$O$61)</f>
        <v>10.382868267358859</v>
      </c>
      <c r="G69" s="146">
        <f t="shared" si="4"/>
        <v>155.74302401038287</v>
      </c>
      <c r="H69" s="146">
        <f t="shared" si="5"/>
        <v>1331.7252123222272</v>
      </c>
      <c r="I69" s="146">
        <f t="shared" si="6"/>
        <v>1331.7252123222272</v>
      </c>
      <c r="J69" s="147">
        <f t="shared" si="7"/>
        <v>4.3532338308457712</v>
      </c>
      <c r="K69" s="157">
        <v>12</v>
      </c>
      <c r="L69" s="65"/>
      <c r="M69" s="2"/>
      <c r="N69" s="156" t="s">
        <v>522</v>
      </c>
      <c r="O69" s="127">
        <f>(O68*(18/12))*2</f>
        <v>24</v>
      </c>
      <c r="P69" s="127" t="s">
        <v>15</v>
      </c>
      <c r="Q69" s="2"/>
    </row>
    <row r="70" spans="1:17" x14ac:dyDescent="0.85">
      <c r="A70" s="14"/>
      <c r="B70" s="27"/>
      <c r="C70" s="129" t="s">
        <v>289</v>
      </c>
      <c r="D70" s="129"/>
      <c r="E70" s="148">
        <f>(15*50)</f>
        <v>750</v>
      </c>
      <c r="F70" s="149">
        <f>E70/(($O$67*$O$68)+$O$69)</f>
        <v>8.5227272727272734</v>
      </c>
      <c r="G70" s="149">
        <f t="shared" si="4"/>
        <v>127.84090909090911</v>
      </c>
      <c r="H70" s="149">
        <f t="shared" si="5"/>
        <v>1093.1402089072544</v>
      </c>
      <c r="I70" s="149">
        <f t="shared" si="6"/>
        <v>951.23229451587656</v>
      </c>
      <c r="J70" s="150">
        <f t="shared" si="7"/>
        <v>3.1094527363184081</v>
      </c>
      <c r="K70" s="158">
        <v>12</v>
      </c>
      <c r="L70" s="65"/>
      <c r="M70" s="2"/>
      <c r="N70" s="2"/>
      <c r="O70" s="2"/>
      <c r="P70" s="2"/>
      <c r="Q70" s="2"/>
    </row>
    <row r="71" spans="1:17" x14ac:dyDescent="0.85">
      <c r="A71" s="14"/>
      <c r="B71" s="27"/>
      <c r="C71" s="128" t="s">
        <v>290</v>
      </c>
      <c r="D71" s="128"/>
      <c r="E71" s="145">
        <f>(30*20)</f>
        <v>600</v>
      </c>
      <c r="F71" s="146">
        <v>35</v>
      </c>
      <c r="G71" s="146">
        <f t="shared" si="4"/>
        <v>525</v>
      </c>
      <c r="H71" s="146">
        <f t="shared" si="5"/>
        <v>4489.1624579124582</v>
      </c>
      <c r="I71" s="146">
        <f t="shared" si="6"/>
        <v>760.98583561270129</v>
      </c>
      <c r="J71" s="147">
        <f t="shared" si="7"/>
        <v>2.4875621890547266</v>
      </c>
      <c r="K71" s="157">
        <v>16</v>
      </c>
      <c r="L71" s="65"/>
      <c r="M71" s="2"/>
      <c r="N71" s="2"/>
      <c r="O71" s="2"/>
      <c r="P71" s="2"/>
      <c r="Q71" s="2"/>
    </row>
    <row r="72" spans="1:17" x14ac:dyDescent="0.85">
      <c r="A72" s="14"/>
      <c r="B72" s="27"/>
      <c r="C72" s="129" t="s">
        <v>495</v>
      </c>
      <c r="D72" s="129"/>
      <c r="E72" s="148">
        <f>(25*5)+(15*10)+(25*20)+(10*20)+(30*10)</f>
        <v>1275</v>
      </c>
      <c r="F72" s="149">
        <f>E72/(($O$67*$O$68)+$O$69)</f>
        <v>14.488636363636363</v>
      </c>
      <c r="G72" s="149">
        <f t="shared" si="4"/>
        <v>217.32954545454541</v>
      </c>
      <c r="H72" s="149">
        <f t="shared" si="5"/>
        <v>1858.3383551423319</v>
      </c>
      <c r="I72" s="149">
        <f t="shared" si="6"/>
        <v>1617.0949006769902</v>
      </c>
      <c r="J72" s="150">
        <f t="shared" si="7"/>
        <v>5.2860696517412933</v>
      </c>
      <c r="K72" s="158">
        <v>12</v>
      </c>
      <c r="L72" s="65"/>
      <c r="M72" s="2"/>
      <c r="N72" s="2"/>
      <c r="O72" s="2"/>
      <c r="P72" s="2"/>
      <c r="Q72" s="2"/>
    </row>
    <row r="73" spans="1:17" x14ac:dyDescent="0.85">
      <c r="A73" s="14"/>
      <c r="B73" s="27"/>
      <c r="C73" s="128" t="s">
        <v>496</v>
      </c>
      <c r="D73" s="128"/>
      <c r="E73" s="145">
        <f>(50*15)+(35*10)</f>
        <v>1100</v>
      </c>
      <c r="F73" s="146">
        <f>E73/(($O$67*$O$68)+$O$69)</f>
        <v>12.5</v>
      </c>
      <c r="G73" s="146">
        <f t="shared" si="4"/>
        <v>187.49999999999997</v>
      </c>
      <c r="H73" s="146">
        <f t="shared" si="5"/>
        <v>1603.272306397306</v>
      </c>
      <c r="I73" s="146">
        <f t="shared" si="6"/>
        <v>1395.1406986232857</v>
      </c>
      <c r="J73" s="147">
        <f t="shared" si="7"/>
        <v>4.5605306799336649</v>
      </c>
      <c r="K73" s="157">
        <v>12</v>
      </c>
      <c r="L73" s="65"/>
      <c r="M73" s="2"/>
      <c r="N73" s="2"/>
      <c r="O73" s="2"/>
      <c r="P73" s="2"/>
      <c r="Q73" s="2"/>
    </row>
    <row r="74" spans="1:17" x14ac:dyDescent="0.85">
      <c r="A74" s="14"/>
      <c r="B74" s="27" t="s">
        <v>498</v>
      </c>
      <c r="C74" s="129" t="s">
        <v>499</v>
      </c>
      <c r="D74" s="129"/>
      <c r="E74" s="148">
        <f>25*30</f>
        <v>750</v>
      </c>
      <c r="F74" s="149">
        <v>0</v>
      </c>
      <c r="G74" s="149">
        <f t="shared" si="4"/>
        <v>0</v>
      </c>
      <c r="H74" s="149"/>
      <c r="I74" s="149">
        <v>0</v>
      </c>
      <c r="J74" s="150">
        <v>0</v>
      </c>
      <c r="K74" s="158"/>
      <c r="L74" s="65"/>
      <c r="M74" s="2"/>
      <c r="N74" s="2"/>
      <c r="O74" s="2"/>
      <c r="P74" s="2"/>
      <c r="Q74" s="2"/>
    </row>
    <row r="75" spans="1:17" x14ac:dyDescent="0.85">
      <c r="A75" s="14"/>
      <c r="B75" s="27"/>
      <c r="C75" s="128" t="s">
        <v>500</v>
      </c>
      <c r="D75" s="128"/>
      <c r="E75" s="145">
        <f>(5*10)+(0.5*(5*5))</f>
        <v>62.5</v>
      </c>
      <c r="F75" s="146">
        <v>0</v>
      </c>
      <c r="G75" s="146">
        <v>0</v>
      </c>
      <c r="H75" s="146"/>
      <c r="I75" s="146">
        <v>0</v>
      </c>
      <c r="J75" s="147">
        <v>0</v>
      </c>
      <c r="K75" s="157"/>
      <c r="L75" s="65"/>
      <c r="M75" s="2"/>
      <c r="N75" s="2"/>
      <c r="O75" s="2"/>
      <c r="P75" s="2"/>
      <c r="Q75" s="2"/>
    </row>
    <row r="76" spans="1:17" x14ac:dyDescent="0.85">
      <c r="A76" s="14"/>
      <c r="B76" s="27"/>
      <c r="C76" s="129" t="s">
        <v>504</v>
      </c>
      <c r="D76" s="129"/>
      <c r="E76" s="148">
        <f>20*20</f>
        <v>400</v>
      </c>
      <c r="F76" s="149">
        <v>0</v>
      </c>
      <c r="G76" s="149">
        <v>0</v>
      </c>
      <c r="H76" s="149"/>
      <c r="I76" s="149">
        <v>0</v>
      </c>
      <c r="J76" s="150">
        <v>0</v>
      </c>
      <c r="K76" s="158"/>
      <c r="L76" s="65"/>
      <c r="M76" s="2"/>
      <c r="N76" s="2"/>
      <c r="O76" s="2"/>
      <c r="P76" s="2"/>
      <c r="Q76" s="2"/>
    </row>
    <row r="77" spans="1:17" x14ac:dyDescent="0.85">
      <c r="A77" s="14"/>
      <c r="B77" s="27"/>
      <c r="C77" s="128" t="s">
        <v>505</v>
      </c>
      <c r="D77" s="128"/>
      <c r="E77" s="145">
        <f>(10*20)+(10*10)</f>
        <v>300</v>
      </c>
      <c r="F77" s="146">
        <v>0</v>
      </c>
      <c r="G77" s="146">
        <v>0</v>
      </c>
      <c r="H77" s="146"/>
      <c r="I77" s="146">
        <v>0</v>
      </c>
      <c r="J77" s="147">
        <v>0</v>
      </c>
      <c r="K77" s="157"/>
      <c r="L77" s="65"/>
      <c r="M77" s="2"/>
      <c r="N77" s="2"/>
      <c r="O77" s="2"/>
      <c r="P77" s="2"/>
      <c r="Q77" s="2"/>
    </row>
    <row r="78" spans="1:17" x14ac:dyDescent="0.85">
      <c r="A78" s="14"/>
      <c r="B78" s="27"/>
      <c r="C78" s="129" t="s">
        <v>501</v>
      </c>
      <c r="D78" s="129"/>
      <c r="E78" s="148">
        <f>10*20</f>
        <v>200</v>
      </c>
      <c r="F78" s="149">
        <v>0</v>
      </c>
      <c r="G78" s="149">
        <v>0</v>
      </c>
      <c r="H78" s="149"/>
      <c r="I78" s="149">
        <v>0</v>
      </c>
      <c r="J78" s="150">
        <v>0</v>
      </c>
      <c r="K78" s="158"/>
      <c r="L78" s="65"/>
      <c r="M78" s="2"/>
      <c r="N78" s="2"/>
      <c r="O78" s="2"/>
      <c r="P78" s="2"/>
      <c r="Q78" s="2"/>
    </row>
    <row r="79" spans="1:17" x14ac:dyDescent="0.85">
      <c r="A79" s="14"/>
      <c r="B79" s="27"/>
      <c r="C79" s="128" t="s">
        <v>502</v>
      </c>
      <c r="D79" s="128"/>
      <c r="E79" s="145">
        <f>10*10</f>
        <v>100</v>
      </c>
      <c r="F79" s="146">
        <v>0</v>
      </c>
      <c r="G79" s="146">
        <v>0</v>
      </c>
      <c r="H79" s="146"/>
      <c r="I79" s="146">
        <v>0</v>
      </c>
      <c r="J79" s="147">
        <v>0</v>
      </c>
      <c r="K79" s="157"/>
      <c r="L79" s="65"/>
      <c r="M79" s="2"/>
      <c r="N79" s="2"/>
      <c r="O79" s="2"/>
      <c r="P79" s="2"/>
      <c r="Q79" s="2"/>
    </row>
    <row r="80" spans="1:17" x14ac:dyDescent="0.85">
      <c r="A80" s="14"/>
      <c r="B80" s="27"/>
      <c r="C80" s="129" t="s">
        <v>503</v>
      </c>
      <c r="D80" s="129"/>
      <c r="E80" s="148">
        <f>30*20</f>
        <v>600</v>
      </c>
      <c r="F80" s="149">
        <v>0</v>
      </c>
      <c r="G80" s="149">
        <v>0</v>
      </c>
      <c r="H80" s="149"/>
      <c r="I80" s="149">
        <v>0</v>
      </c>
      <c r="J80" s="150">
        <v>0</v>
      </c>
      <c r="K80" s="158"/>
      <c r="L80" s="65"/>
      <c r="M80" s="2"/>
      <c r="N80" s="2"/>
      <c r="O80" s="2"/>
      <c r="P80" s="2"/>
      <c r="Q80" s="2"/>
    </row>
    <row r="81" spans="1:17" x14ac:dyDescent="0.85">
      <c r="A81" s="14"/>
      <c r="B81" s="27"/>
      <c r="C81" s="63" t="s">
        <v>497</v>
      </c>
      <c r="D81" s="63"/>
      <c r="E81" s="153">
        <f>SUM(E65:E80,E52:E60)</f>
        <v>20000</v>
      </c>
      <c r="F81" s="154">
        <f t="shared" ref="F81:G81" si="8">SUM(F65:F80,F52:F60)</f>
        <v>174.67832281281338</v>
      </c>
      <c r="G81" s="154">
        <f t="shared" si="8"/>
        <v>2620.1748421922007</v>
      </c>
      <c r="H81" s="154"/>
      <c r="I81" s="154">
        <f>SUM(I65:I80,I52:I60)</f>
        <v>22306.397306397303</v>
      </c>
      <c r="J81" s="155">
        <f>SUM(J65:J80,J52:J60)</f>
        <v>72.916666666666657</v>
      </c>
      <c r="K81" s="155"/>
      <c r="L81" s="65">
        <f>20000-E81</f>
        <v>0</v>
      </c>
      <c r="M81" s="2"/>
      <c r="N81" s="2"/>
      <c r="O81" s="2"/>
      <c r="P81" s="2"/>
      <c r="Q81" s="2"/>
    </row>
    <row r="82" spans="1:17" x14ac:dyDescent="0.85">
      <c r="A82" s="53" t="s">
        <v>95</v>
      </c>
      <c r="B82" s="54"/>
      <c r="C82" s="54"/>
      <c r="D82" s="54"/>
      <c r="E82" s="55"/>
      <c r="F82" s="55"/>
      <c r="G82" s="55"/>
      <c r="H82" s="55"/>
      <c r="I82" s="55"/>
      <c r="J82" s="55"/>
      <c r="K82" s="55"/>
      <c r="L82" s="55"/>
      <c r="M82" s="56"/>
      <c r="N82" s="55"/>
      <c r="O82" s="2"/>
      <c r="P82" s="2"/>
      <c r="Q82" s="2"/>
    </row>
    <row r="83" spans="1:17" x14ac:dyDescent="0.85">
      <c r="A83" s="14"/>
      <c r="B83" s="27" t="s">
        <v>45</v>
      </c>
      <c r="C83" s="28">
        <f>AVERAGE(25,28)</f>
        <v>26.5</v>
      </c>
      <c r="D83" s="25" t="s">
        <v>35</v>
      </c>
      <c r="E83" s="9"/>
      <c r="F83" s="27" t="s">
        <v>12</v>
      </c>
      <c r="G83" s="25" t="s">
        <v>29</v>
      </c>
      <c r="H83" s="27"/>
      <c r="I83" s="133"/>
      <c r="J83" s="2"/>
      <c r="K83" s="2"/>
      <c r="L83" s="2"/>
      <c r="M83" s="2"/>
      <c r="N83" s="2"/>
      <c r="O83" s="2"/>
      <c r="P83" s="2"/>
      <c r="Q83" s="2"/>
    </row>
    <row r="84" spans="1:17" x14ac:dyDescent="0.85">
      <c r="A84" s="14"/>
      <c r="B84" s="27"/>
      <c r="C84" s="28">
        <f>C83*C13</f>
        <v>530000</v>
      </c>
      <c r="D84" s="25" t="s">
        <v>43</v>
      </c>
      <c r="E84" s="9"/>
      <c r="F84" s="27"/>
      <c r="G84" s="25"/>
      <c r="H84" s="27"/>
      <c r="I84" s="133"/>
      <c r="J84" s="2"/>
      <c r="K84" s="2"/>
      <c r="L84" s="2"/>
      <c r="M84" s="2"/>
      <c r="N84" s="2"/>
      <c r="O84" s="2"/>
      <c r="P84" s="2"/>
      <c r="Q84" s="2"/>
    </row>
    <row r="85" spans="1:17" x14ac:dyDescent="0.85">
      <c r="A85" s="14"/>
      <c r="B85" s="27"/>
      <c r="C85" s="28">
        <f>C84/12000</f>
        <v>44.166666666666664</v>
      </c>
      <c r="D85" s="25" t="s">
        <v>44</v>
      </c>
      <c r="E85" s="9"/>
      <c r="F85" s="27"/>
      <c r="G85" s="25"/>
      <c r="H85" s="27"/>
      <c r="I85" s="133"/>
      <c r="J85" s="2"/>
      <c r="K85" s="2"/>
      <c r="L85" s="2"/>
      <c r="M85" s="2"/>
      <c r="N85" s="2"/>
      <c r="O85" s="2"/>
      <c r="P85" s="2"/>
      <c r="Q85" s="2"/>
    </row>
    <row r="86" spans="1:17" x14ac:dyDescent="0.85">
      <c r="A86" s="14"/>
      <c r="B86" s="27" t="s">
        <v>34</v>
      </c>
      <c r="C86" s="29">
        <v>0.85</v>
      </c>
      <c r="D86" s="25"/>
      <c r="E86" s="9"/>
      <c r="F86" s="27" t="s">
        <v>12</v>
      </c>
      <c r="G86" s="25" t="s">
        <v>41</v>
      </c>
      <c r="H86" s="27"/>
      <c r="I86" s="133"/>
      <c r="J86" s="2"/>
      <c r="K86" s="2"/>
      <c r="L86" s="2"/>
      <c r="M86" s="2"/>
      <c r="N86" s="2"/>
      <c r="O86" s="2"/>
      <c r="P86" s="2"/>
      <c r="Q86" s="2"/>
    </row>
    <row r="87" spans="1:17" x14ac:dyDescent="0.85">
      <c r="A87" s="14"/>
      <c r="B87" s="27" t="s">
        <v>46</v>
      </c>
      <c r="C87" s="28">
        <f>C83*(1-C86)</f>
        <v>3.9750000000000005</v>
      </c>
      <c r="D87" s="25" t="s">
        <v>35</v>
      </c>
      <c r="E87" s="9"/>
      <c r="F87" s="27" t="s">
        <v>12</v>
      </c>
      <c r="G87" s="25" t="s">
        <v>48</v>
      </c>
      <c r="H87" s="27"/>
      <c r="I87" s="133"/>
      <c r="J87" s="2"/>
      <c r="K87" s="2"/>
      <c r="L87" s="2"/>
      <c r="M87" s="2"/>
      <c r="N87" s="2"/>
      <c r="O87" s="2"/>
      <c r="P87" s="2"/>
      <c r="Q87" s="2"/>
    </row>
    <row r="88" spans="1:17" x14ac:dyDescent="0.85">
      <c r="A88" s="14"/>
      <c r="B88" s="27"/>
      <c r="C88" s="28">
        <f>C87*C13</f>
        <v>79500.000000000015</v>
      </c>
      <c r="D88" s="25" t="s">
        <v>43</v>
      </c>
      <c r="E88" s="9"/>
      <c r="G88" s="25"/>
      <c r="H88" s="27"/>
      <c r="I88" s="133"/>
      <c r="J88" s="2"/>
      <c r="K88" s="2"/>
      <c r="L88" s="2"/>
      <c r="M88" s="2"/>
      <c r="N88" s="2"/>
      <c r="O88" s="2"/>
      <c r="P88" s="2"/>
      <c r="Q88" s="2"/>
    </row>
    <row r="89" spans="1:17" x14ac:dyDescent="0.85">
      <c r="A89" s="14"/>
      <c r="B89" s="27"/>
      <c r="C89" s="28">
        <f>C88/12000</f>
        <v>6.6250000000000009</v>
      </c>
      <c r="D89" s="25" t="s">
        <v>44</v>
      </c>
      <c r="E89" s="9"/>
      <c r="G89" s="25"/>
      <c r="H89" s="27"/>
      <c r="I89" s="133"/>
      <c r="J89" s="2"/>
      <c r="K89" s="2"/>
      <c r="L89" s="2"/>
      <c r="M89" s="2"/>
      <c r="N89" s="2"/>
      <c r="O89" s="2"/>
      <c r="P89" s="2"/>
      <c r="Q89" s="2"/>
    </row>
    <row r="90" spans="1:17" x14ac:dyDescent="0.85">
      <c r="A90" s="14"/>
      <c r="B90" s="27" t="s">
        <v>47</v>
      </c>
      <c r="C90" s="28">
        <f>C83+C87</f>
        <v>30.475000000000001</v>
      </c>
      <c r="D90" s="25" t="s">
        <v>35</v>
      </c>
      <c r="E90" s="9"/>
      <c r="H90" s="27"/>
      <c r="I90" s="133"/>
      <c r="J90" s="2"/>
      <c r="K90" s="2"/>
      <c r="L90" s="2"/>
      <c r="M90" s="2"/>
      <c r="N90" s="2"/>
      <c r="O90" s="2"/>
      <c r="P90" s="2"/>
      <c r="Q90" s="2"/>
    </row>
    <row r="91" spans="1:17" x14ac:dyDescent="0.85">
      <c r="A91" s="14"/>
      <c r="B91" s="27"/>
      <c r="C91" s="28">
        <f>C90*C13</f>
        <v>609500</v>
      </c>
      <c r="D91" s="25" t="s">
        <v>43</v>
      </c>
      <c r="E91" s="9"/>
      <c r="F91" s="27"/>
      <c r="G91" s="25"/>
      <c r="H91" s="27"/>
      <c r="I91" s="133"/>
      <c r="J91" s="2"/>
      <c r="K91" s="2"/>
      <c r="L91" s="2"/>
      <c r="M91" s="2"/>
      <c r="N91" s="2"/>
      <c r="O91" s="2"/>
      <c r="P91" s="2"/>
      <c r="Q91" s="2"/>
    </row>
    <row r="92" spans="1:17" x14ac:dyDescent="0.85">
      <c r="A92" s="14"/>
      <c r="B92" s="27"/>
      <c r="C92" s="28">
        <f>C91/12000</f>
        <v>50.791666666666664</v>
      </c>
      <c r="D92" s="25" t="s">
        <v>44</v>
      </c>
      <c r="E92" s="9"/>
      <c r="F92" s="27"/>
      <c r="G92" s="25"/>
      <c r="H92" s="27"/>
      <c r="I92" s="133"/>
      <c r="J92" s="2"/>
      <c r="K92" s="2"/>
      <c r="L92" s="2"/>
      <c r="M92" s="2"/>
      <c r="N92" s="2"/>
      <c r="O92" s="2"/>
      <c r="P92" s="2"/>
      <c r="Q92" s="2"/>
    </row>
    <row r="93" spans="1:17" x14ac:dyDescent="0.85">
      <c r="A93" s="14"/>
      <c r="B93" s="27" t="s">
        <v>37</v>
      </c>
      <c r="C93" s="28">
        <v>75</v>
      </c>
      <c r="D93" s="25" t="s">
        <v>36</v>
      </c>
      <c r="E93" s="9"/>
      <c r="F93" s="27"/>
      <c r="G93" s="25"/>
      <c r="H93" s="27"/>
      <c r="I93" s="133"/>
      <c r="J93" s="2"/>
      <c r="K93" s="2"/>
      <c r="L93" s="2"/>
      <c r="M93" s="2"/>
      <c r="N93" s="2"/>
      <c r="O93" s="2"/>
      <c r="P93" s="2"/>
      <c r="Q93" s="2"/>
    </row>
    <row r="94" spans="1:17" x14ac:dyDescent="0.85">
      <c r="A94" s="14"/>
      <c r="B94" s="27"/>
      <c r="C94" s="30">
        <v>0.5</v>
      </c>
      <c r="D94" s="25" t="s">
        <v>39</v>
      </c>
      <c r="E94" s="9"/>
      <c r="F94" s="27"/>
      <c r="G94" s="25"/>
      <c r="H94" s="27"/>
      <c r="I94" s="133"/>
      <c r="J94" s="2"/>
      <c r="K94" s="2"/>
      <c r="L94" s="2"/>
      <c r="M94" s="2"/>
      <c r="N94" s="2"/>
      <c r="O94" s="2"/>
      <c r="P94" s="2"/>
      <c r="Q94" s="2"/>
    </row>
    <row r="95" spans="1:17" x14ac:dyDescent="0.85">
      <c r="A95" s="14"/>
      <c r="B95" s="27"/>
      <c r="C95" s="31">
        <v>28.15</v>
      </c>
      <c r="D95" s="25" t="s">
        <v>55</v>
      </c>
      <c r="E95" s="9"/>
      <c r="F95" s="27"/>
      <c r="G95" s="25"/>
      <c r="H95" s="27"/>
      <c r="I95" s="133"/>
      <c r="J95" s="2"/>
      <c r="K95" s="2"/>
      <c r="L95" s="2"/>
      <c r="M95" s="2"/>
      <c r="N95" s="2"/>
      <c r="O95" s="2"/>
      <c r="P95" s="2"/>
      <c r="Q95" s="2"/>
    </row>
    <row r="96" spans="1:17" x14ac:dyDescent="0.85">
      <c r="A96" s="14"/>
      <c r="B96" s="27" t="s">
        <v>38</v>
      </c>
      <c r="C96" s="28">
        <v>53</v>
      </c>
      <c r="D96" s="25" t="s">
        <v>36</v>
      </c>
      <c r="E96" s="9"/>
      <c r="F96" s="27" t="s">
        <v>12</v>
      </c>
      <c r="G96" s="25" t="s">
        <v>40</v>
      </c>
      <c r="H96" s="27"/>
      <c r="I96" s="133"/>
      <c r="J96" s="2"/>
      <c r="K96" s="2"/>
      <c r="L96" s="2"/>
      <c r="M96" s="2"/>
      <c r="N96" s="2"/>
      <c r="O96" s="2"/>
      <c r="P96" s="2"/>
      <c r="Q96" s="2"/>
    </row>
    <row r="97" spans="1:17" x14ac:dyDescent="0.85">
      <c r="A97" s="14"/>
      <c r="B97" s="27" t="s">
        <v>42</v>
      </c>
      <c r="C97" s="28">
        <f>(C84)/(1.08*(C93-C96))</f>
        <v>22306.397306397306</v>
      </c>
      <c r="D97" s="25" t="s">
        <v>49</v>
      </c>
      <c r="E97" s="9"/>
      <c r="F97" s="27"/>
      <c r="G97" s="25"/>
      <c r="H97" s="27"/>
      <c r="I97" s="133"/>
      <c r="J97" s="2"/>
      <c r="K97" s="2"/>
      <c r="L97" s="2"/>
      <c r="M97" s="2"/>
      <c r="N97" s="2"/>
      <c r="O97" s="2"/>
      <c r="P97" s="2"/>
      <c r="Q97" s="2"/>
    </row>
    <row r="98" spans="1:17" x14ac:dyDescent="0.85">
      <c r="A98" s="14"/>
      <c r="B98" s="27"/>
      <c r="C98" s="29">
        <f>C97/C13</f>
        <v>1.1153198653198653</v>
      </c>
      <c r="D98" s="25" t="s">
        <v>134</v>
      </c>
      <c r="E98" s="9"/>
      <c r="F98" s="27"/>
      <c r="G98" s="25"/>
      <c r="H98" s="27"/>
      <c r="I98" s="133"/>
      <c r="J98" s="2"/>
      <c r="K98" s="2"/>
      <c r="L98" s="2"/>
      <c r="M98" s="2"/>
      <c r="N98" s="2"/>
      <c r="O98" s="2"/>
      <c r="P98" s="2"/>
      <c r="Q98" s="2"/>
    </row>
    <row r="99" spans="1:17" x14ac:dyDescent="0.85">
      <c r="A99" s="14"/>
      <c r="B99" s="27" t="s">
        <v>119</v>
      </c>
      <c r="C99" s="30">
        <f>1/3</f>
        <v>0.33333333333333331</v>
      </c>
      <c r="D99" s="25" t="s">
        <v>120</v>
      </c>
      <c r="E99" s="9"/>
      <c r="F99" s="27"/>
      <c r="G99" s="25"/>
      <c r="H99" s="27"/>
      <c r="I99" s="133"/>
      <c r="J99" s="2"/>
      <c r="K99" s="2"/>
      <c r="L99" s="2"/>
      <c r="M99" s="2"/>
      <c r="N99" s="2"/>
      <c r="O99" s="2"/>
      <c r="P99" s="2"/>
      <c r="Q99" s="2"/>
    </row>
    <row r="100" spans="1:17" x14ac:dyDescent="0.85">
      <c r="A100" s="14"/>
      <c r="B100" s="27" t="s">
        <v>121</v>
      </c>
      <c r="C100" s="28">
        <f>C99*C97</f>
        <v>7435.4657687991021</v>
      </c>
      <c r="D100" s="25" t="s">
        <v>33</v>
      </c>
      <c r="E100" s="9"/>
      <c r="F100" s="27"/>
      <c r="G100" s="25"/>
      <c r="H100" s="27"/>
      <c r="I100" s="133"/>
      <c r="J100" s="2"/>
      <c r="K100" s="2"/>
      <c r="L100" s="2"/>
      <c r="M100" s="2"/>
      <c r="N100" s="2"/>
      <c r="O100" s="2"/>
      <c r="P100" s="2"/>
      <c r="Q100" s="2"/>
    </row>
    <row r="101" spans="1:17" x14ac:dyDescent="0.85">
      <c r="A101" s="14"/>
      <c r="B101" s="27" t="s">
        <v>52</v>
      </c>
      <c r="C101" s="31">
        <v>90.7</v>
      </c>
      <c r="D101" s="25" t="s">
        <v>53</v>
      </c>
      <c r="E101" s="9"/>
      <c r="F101" s="27"/>
      <c r="G101" s="25"/>
      <c r="H101" s="27"/>
      <c r="I101" s="133"/>
      <c r="J101" s="2"/>
      <c r="K101" s="2"/>
      <c r="L101" s="2"/>
      <c r="M101" s="2"/>
      <c r="N101" s="2"/>
      <c r="O101" s="2"/>
      <c r="P101" s="2"/>
      <c r="Q101" s="2"/>
    </row>
    <row r="102" spans="1:17" x14ac:dyDescent="0.85">
      <c r="A102" s="14"/>
      <c r="B102" s="27"/>
      <c r="C102" s="31">
        <v>75</v>
      </c>
      <c r="D102" s="25" t="s">
        <v>54</v>
      </c>
      <c r="E102" s="9"/>
      <c r="F102" s="27"/>
      <c r="G102" s="25"/>
      <c r="H102" s="27"/>
      <c r="I102" s="133"/>
      <c r="J102" s="2"/>
      <c r="K102" s="2"/>
      <c r="L102" s="2"/>
      <c r="M102" s="2"/>
      <c r="N102" s="2"/>
      <c r="O102" s="2"/>
      <c r="P102" s="2"/>
      <c r="Q102" s="2"/>
    </row>
    <row r="103" spans="1:17" x14ac:dyDescent="0.85">
      <c r="A103" s="14"/>
      <c r="B103" s="27"/>
      <c r="C103" s="31">
        <v>36.4</v>
      </c>
      <c r="D103" s="25" t="s">
        <v>55</v>
      </c>
      <c r="E103" s="9"/>
      <c r="F103" s="27"/>
      <c r="G103" s="25"/>
      <c r="H103" s="27"/>
      <c r="I103" s="133"/>
      <c r="J103" s="2"/>
      <c r="K103" s="2"/>
      <c r="L103" s="2"/>
      <c r="M103" s="2"/>
      <c r="N103" s="2"/>
      <c r="O103" s="2"/>
      <c r="P103" s="2"/>
      <c r="Q103" s="2"/>
    </row>
    <row r="104" spans="1:17" x14ac:dyDescent="0.85">
      <c r="A104" s="14"/>
      <c r="B104" s="27" t="s">
        <v>56</v>
      </c>
      <c r="C104" s="28">
        <f>4.5*C43*(C103-C95)</f>
        <v>96847.826086956513</v>
      </c>
      <c r="D104" s="25" t="s">
        <v>43</v>
      </c>
      <c r="E104" s="9"/>
      <c r="F104" s="27"/>
      <c r="G104" s="25"/>
      <c r="H104" s="27"/>
      <c r="I104" s="133"/>
      <c r="J104" s="2"/>
      <c r="K104" s="2"/>
      <c r="L104" s="2"/>
      <c r="M104" s="2"/>
      <c r="N104" s="2"/>
      <c r="O104" s="2"/>
      <c r="P104" s="2"/>
      <c r="Q104" s="2"/>
    </row>
    <row r="105" spans="1:17" x14ac:dyDescent="0.85">
      <c r="A105" s="14"/>
      <c r="B105" s="27"/>
      <c r="C105" s="28">
        <f>C104/12000</f>
        <v>8.070652173913043</v>
      </c>
      <c r="D105" s="25" t="s">
        <v>44</v>
      </c>
      <c r="E105" s="9"/>
      <c r="F105" s="27"/>
      <c r="G105" s="25"/>
      <c r="H105" s="27"/>
      <c r="I105" s="133"/>
      <c r="J105" s="2"/>
      <c r="K105" s="2"/>
      <c r="L105" s="2"/>
      <c r="M105" s="2"/>
      <c r="N105" s="2"/>
      <c r="O105" s="2"/>
      <c r="P105" s="2"/>
      <c r="Q105" s="2"/>
    </row>
    <row r="106" spans="1:17" x14ac:dyDescent="0.85">
      <c r="A106" s="14"/>
      <c r="B106" s="27"/>
      <c r="C106" s="28">
        <f>C104/C13</f>
        <v>4.8423913043478253</v>
      </c>
      <c r="D106" s="25" t="s">
        <v>35</v>
      </c>
      <c r="E106" s="9"/>
      <c r="F106" s="27"/>
      <c r="G106" s="25"/>
      <c r="H106" s="27"/>
      <c r="I106" s="133"/>
      <c r="J106" s="2"/>
      <c r="K106" s="2"/>
      <c r="L106" s="2"/>
      <c r="M106" s="2"/>
      <c r="N106" s="2"/>
      <c r="O106" s="2"/>
      <c r="P106" s="2"/>
      <c r="Q106" s="2"/>
    </row>
    <row r="107" spans="1:17" x14ac:dyDescent="0.85">
      <c r="A107" s="66"/>
      <c r="B107" s="61" t="s">
        <v>57</v>
      </c>
      <c r="C107" s="62">
        <f>C91+C104</f>
        <v>706347.82608695654</v>
      </c>
      <c r="D107" s="63" t="s">
        <v>59</v>
      </c>
      <c r="E107" s="64"/>
      <c r="F107" s="61"/>
      <c r="G107" s="63"/>
      <c r="H107" s="61"/>
      <c r="I107" s="134"/>
      <c r="J107" s="65"/>
      <c r="K107" s="65"/>
      <c r="L107" s="65"/>
      <c r="M107" s="65"/>
      <c r="N107" s="2"/>
      <c r="O107" s="2"/>
      <c r="P107" s="2"/>
      <c r="Q107" s="2"/>
    </row>
    <row r="108" spans="1:17" x14ac:dyDescent="0.85">
      <c r="A108" s="66"/>
      <c r="B108" s="61"/>
      <c r="C108" s="62">
        <f>C107/12000</f>
        <v>58.862318840579711</v>
      </c>
      <c r="D108" s="63" t="s">
        <v>58</v>
      </c>
      <c r="E108" s="64"/>
      <c r="F108" s="61"/>
      <c r="G108" s="63"/>
      <c r="H108" s="61"/>
      <c r="I108" s="134"/>
      <c r="J108" s="65"/>
      <c r="K108" s="65"/>
      <c r="L108" s="65"/>
      <c r="M108" s="65"/>
      <c r="N108" s="2"/>
      <c r="O108" s="2"/>
      <c r="P108" s="2"/>
      <c r="Q108" s="2"/>
    </row>
    <row r="109" spans="1:17" x14ac:dyDescent="0.85">
      <c r="A109" s="53" t="s">
        <v>96</v>
      </c>
      <c r="B109" s="54"/>
      <c r="C109" s="54"/>
      <c r="D109" s="54"/>
      <c r="E109" s="55"/>
      <c r="F109" s="55"/>
      <c r="G109" s="55"/>
      <c r="H109" s="55"/>
      <c r="I109" s="55"/>
      <c r="J109" s="55"/>
      <c r="K109" s="55"/>
      <c r="L109" s="56"/>
      <c r="M109" s="55"/>
      <c r="N109" s="2"/>
      <c r="O109" s="2"/>
      <c r="P109" s="2"/>
      <c r="Q109" s="2"/>
    </row>
    <row r="110" spans="1:17" x14ac:dyDescent="0.85">
      <c r="A110" s="14"/>
      <c r="B110" s="27" t="s">
        <v>60</v>
      </c>
      <c r="C110" s="31">
        <v>10.199999999999999</v>
      </c>
      <c r="D110" s="25" t="s">
        <v>36</v>
      </c>
      <c r="E110" s="9"/>
      <c r="F110" s="27"/>
      <c r="G110" s="25"/>
      <c r="H110" s="27"/>
      <c r="I110" s="133"/>
      <c r="J110" s="2"/>
      <c r="K110" s="2"/>
      <c r="L110" s="2"/>
      <c r="M110" s="2"/>
      <c r="N110" s="2"/>
      <c r="O110" s="2"/>
      <c r="P110" s="2"/>
      <c r="Q110" s="2"/>
    </row>
    <row r="111" spans="1:17" x14ac:dyDescent="0.85">
      <c r="A111" s="14"/>
      <c r="B111" s="27"/>
      <c r="C111" s="30">
        <v>0.5</v>
      </c>
      <c r="D111" s="25" t="s">
        <v>39</v>
      </c>
      <c r="E111" s="9"/>
      <c r="F111" s="27"/>
      <c r="G111" s="25"/>
      <c r="H111" s="27"/>
      <c r="I111" s="133"/>
      <c r="J111" s="2"/>
      <c r="K111" s="2"/>
      <c r="L111" s="2"/>
      <c r="M111" s="2"/>
      <c r="N111" s="2"/>
      <c r="O111" s="2"/>
      <c r="P111" s="2"/>
      <c r="Q111" s="2"/>
    </row>
    <row r="112" spans="1:17" x14ac:dyDescent="0.85">
      <c r="A112" s="14"/>
      <c r="B112" s="27" t="s">
        <v>86</v>
      </c>
      <c r="C112" s="28">
        <v>3</v>
      </c>
      <c r="D112" s="25" t="s">
        <v>36</v>
      </c>
      <c r="E112" s="9"/>
      <c r="F112" s="27"/>
      <c r="G112" s="25"/>
      <c r="H112" s="27"/>
      <c r="I112" s="133"/>
      <c r="J112" s="2"/>
      <c r="K112" s="2"/>
      <c r="L112" s="2"/>
      <c r="M112" s="2"/>
      <c r="N112" s="2"/>
      <c r="O112" s="2"/>
      <c r="P112" s="2"/>
      <c r="Q112" s="2"/>
    </row>
    <row r="113" spans="1:17" x14ac:dyDescent="0.85">
      <c r="A113" s="66"/>
      <c r="B113" s="61" t="s">
        <v>61</v>
      </c>
      <c r="C113" s="62">
        <f>'Mixed Air Temp Calcs'!D65</f>
        <v>-33.955387205387197</v>
      </c>
      <c r="D113" s="63" t="s">
        <v>97</v>
      </c>
      <c r="E113" s="64"/>
      <c r="F113" s="61"/>
      <c r="G113" s="63"/>
      <c r="H113" s="61"/>
      <c r="I113" s="134"/>
      <c r="J113" s="65"/>
      <c r="K113" s="65"/>
      <c r="L113" s="65"/>
      <c r="M113" s="65"/>
      <c r="N113" s="2"/>
      <c r="O113" s="2"/>
      <c r="P113" s="2"/>
      <c r="Q113" s="2"/>
    </row>
    <row r="114" spans="1:17" x14ac:dyDescent="0.85">
      <c r="A114" s="53" t="s">
        <v>98</v>
      </c>
      <c r="B114" s="54"/>
      <c r="C114" s="54"/>
      <c r="D114" s="54"/>
      <c r="E114" s="55"/>
      <c r="F114" s="55"/>
      <c r="G114" s="55"/>
      <c r="H114" s="55"/>
      <c r="I114" s="55"/>
      <c r="J114" s="55"/>
      <c r="K114" s="55"/>
      <c r="L114" s="56"/>
      <c r="M114" s="55"/>
      <c r="N114" s="2"/>
      <c r="O114" s="2"/>
      <c r="P114" s="2"/>
      <c r="Q114" s="2"/>
    </row>
    <row r="115" spans="1:17" x14ac:dyDescent="0.85">
      <c r="A115" s="14"/>
      <c r="B115" s="27" t="s">
        <v>87</v>
      </c>
      <c r="C115" s="27">
        <v>85</v>
      </c>
      <c r="D115" s="25" t="s">
        <v>36</v>
      </c>
      <c r="E115" s="9"/>
      <c r="F115" s="27" t="s">
        <v>12</v>
      </c>
      <c r="G115" s="25" t="s">
        <v>91</v>
      </c>
      <c r="H115" s="27"/>
      <c r="I115" s="133"/>
      <c r="J115" s="2"/>
      <c r="K115" s="2"/>
      <c r="L115" s="2"/>
      <c r="M115" s="2"/>
      <c r="N115" s="2"/>
      <c r="O115" s="2"/>
      <c r="P115" s="2"/>
      <c r="Q115" s="2"/>
    </row>
    <row r="116" spans="1:17" x14ac:dyDescent="0.85">
      <c r="A116" s="14"/>
      <c r="B116" s="27" t="s">
        <v>88</v>
      </c>
      <c r="C116" s="28">
        <v>65</v>
      </c>
      <c r="D116" s="25" t="s">
        <v>36</v>
      </c>
      <c r="E116" s="9"/>
      <c r="F116" s="27" t="s">
        <v>12</v>
      </c>
      <c r="G116" s="25" t="s">
        <v>90</v>
      </c>
      <c r="H116" s="27"/>
      <c r="I116" s="133"/>
      <c r="J116" s="2"/>
      <c r="K116" s="2"/>
      <c r="L116" s="2"/>
      <c r="M116" s="2"/>
      <c r="N116" s="2"/>
      <c r="O116" s="2"/>
      <c r="P116" s="2"/>
      <c r="Q116" s="2"/>
    </row>
    <row r="117" spans="1:17" x14ac:dyDescent="0.85">
      <c r="A117" s="14"/>
      <c r="B117" s="27" t="s">
        <v>92</v>
      </c>
      <c r="C117" s="28">
        <f>C116-C112</f>
        <v>62</v>
      </c>
      <c r="D117" s="25" t="s">
        <v>36</v>
      </c>
      <c r="E117" s="9"/>
      <c r="F117" s="27"/>
      <c r="G117" s="25"/>
      <c r="H117" s="27"/>
      <c r="I117" s="133"/>
      <c r="J117" s="2"/>
      <c r="K117" s="2"/>
      <c r="L117" s="2"/>
      <c r="M117" s="2"/>
      <c r="N117" s="2"/>
      <c r="O117" s="2"/>
      <c r="P117" s="2"/>
      <c r="Q117" s="2"/>
    </row>
    <row r="118" spans="1:17" x14ac:dyDescent="0.85">
      <c r="A118" s="66"/>
      <c r="B118" s="61" t="s">
        <v>93</v>
      </c>
      <c r="C118" s="62">
        <f>1.08*C97*(C115-C117)</f>
        <v>554090.90909090906</v>
      </c>
      <c r="D118" s="63" t="s">
        <v>102</v>
      </c>
      <c r="E118" s="64"/>
      <c r="F118" s="61"/>
      <c r="G118" s="63"/>
      <c r="H118" s="61"/>
      <c r="I118" s="134"/>
      <c r="J118" s="65"/>
      <c r="K118" s="65"/>
      <c r="L118" s="65"/>
      <c r="M118" s="65"/>
      <c r="N118" s="2"/>
      <c r="O118" s="2"/>
      <c r="P118" s="2"/>
      <c r="Q118" s="2"/>
    </row>
    <row r="119" spans="1:17" x14ac:dyDescent="0.85">
      <c r="A119" s="53" t="s">
        <v>99</v>
      </c>
      <c r="B119" s="54"/>
      <c r="C119" s="54"/>
      <c r="D119" s="54"/>
      <c r="E119" s="55"/>
      <c r="F119" s="55"/>
      <c r="G119" s="55"/>
      <c r="H119" s="55"/>
      <c r="I119" s="55"/>
      <c r="J119" s="55"/>
      <c r="K119" s="55"/>
      <c r="L119" s="56"/>
      <c r="M119" s="55"/>
      <c r="N119" s="2"/>
      <c r="O119" s="2"/>
      <c r="P119" s="2"/>
      <c r="Q119" s="2"/>
    </row>
    <row r="120" spans="1:17" x14ac:dyDescent="0.85">
      <c r="A120" s="14"/>
      <c r="B120" s="27" t="s">
        <v>101</v>
      </c>
      <c r="C120" s="28">
        <f>1.08*C43*(C102-C110)</f>
        <v>182566.95652173911</v>
      </c>
      <c r="D120" s="25" t="s">
        <v>103</v>
      </c>
      <c r="E120" s="9"/>
      <c r="F120" s="27"/>
      <c r="G120" s="25"/>
      <c r="H120" s="27"/>
      <c r="I120" s="133"/>
      <c r="J120" s="2"/>
      <c r="K120" s="2"/>
      <c r="L120" s="2"/>
      <c r="M120" s="2"/>
      <c r="N120" s="2"/>
      <c r="O120" s="2"/>
      <c r="P120" s="2"/>
      <c r="Q120" s="2"/>
    </row>
    <row r="121" spans="1:17" x14ac:dyDescent="0.85">
      <c r="A121" s="14"/>
      <c r="B121" s="27"/>
      <c r="C121" s="28">
        <f>C120/C13</f>
        <v>9.1283478260869551</v>
      </c>
      <c r="D121" s="25" t="s">
        <v>35</v>
      </c>
      <c r="E121" s="9"/>
      <c r="F121" s="27"/>
      <c r="G121" s="25"/>
      <c r="H121" s="27"/>
      <c r="I121" s="133"/>
      <c r="J121" s="2"/>
      <c r="K121" s="2"/>
      <c r="L121" s="2"/>
      <c r="M121" s="2"/>
      <c r="N121" s="2"/>
      <c r="O121" s="2"/>
      <c r="P121" s="2"/>
      <c r="Q121" s="2"/>
    </row>
    <row r="122" spans="1:17" x14ac:dyDescent="0.85">
      <c r="A122" s="14"/>
      <c r="B122" s="27" t="s">
        <v>100</v>
      </c>
      <c r="C122" s="28">
        <f>C12-C121</f>
        <v>23.371652173913045</v>
      </c>
      <c r="D122" s="25" t="s">
        <v>104</v>
      </c>
      <c r="E122" s="9"/>
      <c r="F122" s="27"/>
      <c r="G122" s="25"/>
      <c r="H122" s="27"/>
      <c r="I122" s="133"/>
      <c r="J122" s="2"/>
      <c r="K122" s="2"/>
      <c r="L122" s="2"/>
      <c r="M122" s="2"/>
      <c r="N122" s="2"/>
      <c r="O122" s="2"/>
      <c r="P122" s="2"/>
      <c r="Q122" s="2"/>
    </row>
    <row r="123" spans="1:17" s="60" customFormat="1" x14ac:dyDescent="0.85">
      <c r="A123" s="66"/>
      <c r="B123" s="61"/>
      <c r="C123" s="62">
        <f>C122*C13</f>
        <v>467433.04347826092</v>
      </c>
      <c r="D123" s="63" t="s">
        <v>59</v>
      </c>
      <c r="E123" s="64"/>
      <c r="F123" s="61"/>
      <c r="G123" s="63"/>
      <c r="H123" s="61"/>
      <c r="I123" s="134"/>
      <c r="J123" s="65"/>
      <c r="K123" s="65"/>
      <c r="L123" s="65"/>
      <c r="M123" s="65"/>
      <c r="N123" s="65"/>
      <c r="O123" s="65"/>
      <c r="P123" s="65"/>
      <c r="Q123" s="65"/>
    </row>
    <row r="124" spans="1:17" x14ac:dyDescent="0.85">
      <c r="A124" s="14"/>
      <c r="B124" s="27" t="s">
        <v>105</v>
      </c>
      <c r="C124" s="28">
        <f>(2*C15)+(2*C16)</f>
        <v>500</v>
      </c>
      <c r="D124" s="25" t="s">
        <v>20</v>
      </c>
      <c r="E124" s="9"/>
      <c r="F124" s="27"/>
      <c r="G124" s="25"/>
      <c r="H124" s="27"/>
      <c r="I124" s="133"/>
      <c r="J124" s="2"/>
      <c r="K124" s="2"/>
      <c r="L124" s="2"/>
      <c r="M124" s="2"/>
      <c r="N124" s="2"/>
      <c r="O124" s="2"/>
      <c r="P124" s="2"/>
      <c r="Q124" s="2"/>
    </row>
    <row r="125" spans="1:17" x14ac:dyDescent="0.85">
      <c r="A125" s="14"/>
      <c r="B125" s="27" t="s">
        <v>106</v>
      </c>
      <c r="C125" s="28">
        <f>C124*2</f>
        <v>1000</v>
      </c>
      <c r="D125" s="25"/>
      <c r="E125" s="9"/>
      <c r="F125" s="27"/>
      <c r="G125" s="25"/>
      <c r="H125" s="27"/>
      <c r="I125" s="133"/>
      <c r="J125" s="2"/>
      <c r="K125" s="2"/>
      <c r="L125" s="2"/>
      <c r="M125" s="2"/>
      <c r="N125" s="2"/>
      <c r="O125" s="2"/>
      <c r="P125" s="2"/>
      <c r="Q125" s="2"/>
    </row>
    <row r="126" spans="1:17" x14ac:dyDescent="0.85">
      <c r="A126" s="14"/>
      <c r="B126" s="27" t="s">
        <v>113</v>
      </c>
      <c r="C126" s="28">
        <f>E126*C123</f>
        <v>70114.956521739135</v>
      </c>
      <c r="D126" s="25" t="s">
        <v>59</v>
      </c>
      <c r="E126" s="30">
        <v>0.15</v>
      </c>
      <c r="F126" s="25" t="s">
        <v>109</v>
      </c>
      <c r="G126" s="25"/>
      <c r="H126" s="27"/>
      <c r="I126" s="133"/>
      <c r="J126" s="2"/>
      <c r="K126" s="2"/>
      <c r="L126" s="2"/>
      <c r="M126" s="2"/>
      <c r="N126" s="2"/>
      <c r="O126" s="2"/>
      <c r="P126" s="2"/>
      <c r="Q126" s="2"/>
    </row>
    <row r="127" spans="1:17" x14ac:dyDescent="0.85">
      <c r="A127" s="14"/>
      <c r="B127" s="27" t="s">
        <v>110</v>
      </c>
      <c r="C127" s="28">
        <f>C123-C126</f>
        <v>397318.08695652179</v>
      </c>
      <c r="D127" s="25" t="s">
        <v>59</v>
      </c>
      <c r="E127" s="9"/>
      <c r="F127" s="27"/>
      <c r="G127" s="25"/>
      <c r="H127" s="27"/>
      <c r="I127" s="133"/>
      <c r="J127" s="2"/>
      <c r="K127" s="2"/>
      <c r="L127" s="2"/>
      <c r="M127" s="2"/>
      <c r="N127" s="2"/>
      <c r="O127" s="2"/>
      <c r="P127" s="2"/>
      <c r="Q127" s="2"/>
    </row>
    <row r="128" spans="1:17" x14ac:dyDescent="0.85">
      <c r="A128" s="14"/>
      <c r="B128" s="27" t="s">
        <v>111</v>
      </c>
      <c r="C128" s="28">
        <f>C127/C14</f>
        <v>198659.04347826089</v>
      </c>
      <c r="D128" s="25"/>
      <c r="E128" s="9"/>
      <c r="F128" s="27"/>
      <c r="G128" s="25"/>
      <c r="H128" s="27"/>
      <c r="I128" s="133"/>
      <c r="J128" s="2"/>
      <c r="K128" s="2"/>
      <c r="L128" s="2"/>
      <c r="M128" s="2"/>
      <c r="N128" s="2"/>
      <c r="O128" s="2"/>
      <c r="P128" s="2"/>
      <c r="Q128" s="2"/>
    </row>
    <row r="129" spans="1:17" x14ac:dyDescent="0.85">
      <c r="A129" s="66"/>
      <c r="B129" s="61" t="s">
        <v>112</v>
      </c>
      <c r="C129" s="62">
        <f>C128</f>
        <v>198659.04347826089</v>
      </c>
      <c r="D129" s="63"/>
      <c r="E129" s="64"/>
      <c r="F129" s="61"/>
      <c r="G129" s="63"/>
      <c r="H129" s="61"/>
      <c r="I129" s="134"/>
      <c r="J129" s="65"/>
      <c r="K129" s="65"/>
      <c r="L129" s="65"/>
      <c r="M129" s="65"/>
      <c r="N129" s="2"/>
      <c r="O129" s="2"/>
      <c r="P129" s="2"/>
      <c r="Q129" s="2"/>
    </row>
    <row r="130" spans="1:17" x14ac:dyDescent="0.85">
      <c r="A130" s="66"/>
      <c r="B130" s="61" t="s">
        <v>108</v>
      </c>
      <c r="C130" s="62">
        <f>C129+C126</f>
        <v>268774</v>
      </c>
      <c r="D130" s="63"/>
      <c r="E130" s="64"/>
      <c r="F130" s="61"/>
      <c r="G130" s="63"/>
      <c r="H130" s="61"/>
      <c r="I130" s="134"/>
      <c r="J130" s="65"/>
      <c r="K130" s="65"/>
      <c r="L130" s="65"/>
      <c r="M130" s="65"/>
      <c r="N130" s="2"/>
      <c r="O130" s="2"/>
      <c r="P130" s="2"/>
      <c r="Q130" s="2"/>
    </row>
    <row r="131" spans="1:17" x14ac:dyDescent="0.85">
      <c r="A131" s="14"/>
      <c r="B131" s="27" t="s">
        <v>114</v>
      </c>
      <c r="C131" s="28">
        <f>C129+C130</f>
        <v>467433.04347826086</v>
      </c>
      <c r="D131" s="25" t="s">
        <v>115</v>
      </c>
      <c r="E131" s="9"/>
      <c r="F131" s="27"/>
      <c r="G131" s="25"/>
      <c r="H131" s="27"/>
      <c r="I131" s="133"/>
      <c r="J131" s="2"/>
      <c r="K131" s="2"/>
      <c r="L131" s="2"/>
      <c r="M131" s="2"/>
      <c r="N131" s="2"/>
      <c r="O131" s="2"/>
      <c r="P131" s="2"/>
      <c r="Q131" s="2"/>
    </row>
    <row r="132" spans="1:17" x14ac:dyDescent="0.85">
      <c r="A132" s="66"/>
      <c r="B132" s="61" t="s">
        <v>116</v>
      </c>
      <c r="C132" s="62">
        <f>C129/C124</f>
        <v>397.31808695652177</v>
      </c>
      <c r="D132" s="63" t="s">
        <v>107</v>
      </c>
      <c r="E132" s="63" t="s">
        <v>159</v>
      </c>
      <c r="F132" s="61"/>
      <c r="G132" s="63"/>
      <c r="H132" s="61"/>
      <c r="I132" s="134"/>
      <c r="J132" s="65"/>
      <c r="K132" s="65"/>
      <c r="L132" s="65"/>
      <c r="M132" s="65"/>
      <c r="N132" s="2"/>
      <c r="O132" s="2"/>
      <c r="P132" s="2"/>
      <c r="Q132" s="2"/>
    </row>
    <row r="133" spans="1:17" x14ac:dyDescent="0.85">
      <c r="A133" s="66"/>
      <c r="B133" s="61" t="s">
        <v>177</v>
      </c>
      <c r="C133" s="62">
        <f>C130/C124</f>
        <v>537.548</v>
      </c>
      <c r="D133" s="63" t="s">
        <v>117</v>
      </c>
      <c r="E133" s="63" t="s">
        <v>425</v>
      </c>
      <c r="F133" s="61"/>
      <c r="G133" s="63"/>
      <c r="H133" s="61"/>
      <c r="I133" s="134"/>
      <c r="J133" s="65"/>
      <c r="K133" s="65"/>
      <c r="L133" s="65"/>
      <c r="M133" s="65"/>
      <c r="N133" s="2"/>
      <c r="O133" s="2"/>
      <c r="P133" s="2"/>
      <c r="Q133" s="2"/>
    </row>
    <row r="134" spans="1:17" x14ac:dyDescent="0.85">
      <c r="A134" s="66"/>
      <c r="B134" s="61" t="s">
        <v>178</v>
      </c>
      <c r="C134" s="71">
        <v>0.5</v>
      </c>
      <c r="D134" s="63"/>
      <c r="E134" s="63"/>
      <c r="F134" s="61"/>
      <c r="G134" s="63"/>
      <c r="H134" s="61"/>
      <c r="I134" s="134"/>
      <c r="J134" s="65"/>
      <c r="K134" s="65"/>
      <c r="L134" s="65"/>
      <c r="M134" s="65"/>
      <c r="N134" s="2"/>
      <c r="O134" s="2"/>
      <c r="P134" s="2"/>
      <c r="Q134" s="2"/>
    </row>
    <row r="135" spans="1:17" x14ac:dyDescent="0.85">
      <c r="A135" s="66"/>
      <c r="B135" s="61" t="str">
        <f>"Btu/foot of heated space, "&amp;TEXT(C134,"##%")&amp;" of the perimeter is FTR element, first floor - "</f>
        <v xml:space="preserve">Btu/foot of heated space, 50% of the perimeter is FTR element, first floor - </v>
      </c>
      <c r="C135" s="62">
        <f>C132/C134</f>
        <v>794.63617391304354</v>
      </c>
      <c r="D135" s="63" t="s">
        <v>107</v>
      </c>
      <c r="E135" s="63" t="s">
        <v>159</v>
      </c>
      <c r="F135" s="61"/>
      <c r="G135" s="63"/>
      <c r="H135" s="61"/>
      <c r="I135" s="134"/>
      <c r="J135" s="65"/>
      <c r="K135" s="65"/>
      <c r="L135" s="65"/>
      <c r="M135" s="65"/>
      <c r="N135" s="2"/>
      <c r="O135" s="2"/>
      <c r="P135" s="2"/>
      <c r="Q135" s="2"/>
    </row>
    <row r="136" spans="1:17" x14ac:dyDescent="0.85">
      <c r="A136" s="66"/>
      <c r="B136" s="61" t="str">
        <f>"Btu/foot of heated space,  "&amp;TEXT(C134,"##%")&amp;" of the perimeter is FTR element, second floor - "</f>
        <v xml:space="preserve">Btu/foot of heated space,  50% of the perimeter is FTR element, second floor - </v>
      </c>
      <c r="C136" s="62">
        <f>C133/C134</f>
        <v>1075.096</v>
      </c>
      <c r="D136" s="63" t="s">
        <v>117</v>
      </c>
      <c r="E136" s="63" t="s">
        <v>160</v>
      </c>
      <c r="F136" s="61"/>
      <c r="G136" s="63"/>
      <c r="H136" s="61"/>
      <c r="I136" s="134"/>
      <c r="J136" s="65"/>
      <c r="K136" s="65"/>
      <c r="L136" s="65"/>
      <c r="M136" s="65"/>
      <c r="N136" s="2"/>
      <c r="O136" s="2"/>
      <c r="P136" s="2"/>
      <c r="Q136" s="2"/>
    </row>
    <row r="137" spans="1:17" x14ac:dyDescent="0.85">
      <c r="A137" s="53" t="s">
        <v>118</v>
      </c>
      <c r="B137" s="54"/>
      <c r="C137" s="54"/>
      <c r="D137" s="54"/>
      <c r="E137" s="55"/>
      <c r="F137" s="55"/>
      <c r="G137" s="55"/>
      <c r="H137" s="55"/>
      <c r="I137" s="55"/>
      <c r="J137" s="55"/>
      <c r="K137" s="55"/>
      <c r="L137" s="56"/>
      <c r="M137" s="55"/>
      <c r="N137" s="2"/>
      <c r="O137" s="2"/>
      <c r="P137" s="2"/>
      <c r="Q137" s="2"/>
    </row>
    <row r="138" spans="1:17" x14ac:dyDescent="0.85">
      <c r="A138" s="16"/>
      <c r="B138" s="25" t="s">
        <v>138</v>
      </c>
      <c r="C138" s="28"/>
      <c r="D138" s="25"/>
      <c r="E138" s="9"/>
      <c r="F138" s="27"/>
      <c r="G138" s="25"/>
      <c r="H138" s="27"/>
      <c r="I138" s="133"/>
      <c r="J138" s="2"/>
      <c r="K138" s="2"/>
      <c r="L138" s="2"/>
      <c r="M138" s="2"/>
      <c r="N138" s="2"/>
      <c r="O138" s="2"/>
      <c r="P138" s="2"/>
      <c r="Q138" s="2"/>
    </row>
    <row r="139" spans="1:17" x14ac:dyDescent="0.85">
      <c r="A139" s="15"/>
      <c r="B139" s="27" t="s">
        <v>135</v>
      </c>
      <c r="C139" s="28">
        <f>C98*C19</f>
        <v>8922.5589225589229</v>
      </c>
      <c r="D139" s="25" t="s">
        <v>33</v>
      </c>
      <c r="E139" s="9"/>
      <c r="F139" s="27"/>
      <c r="G139" s="25"/>
      <c r="H139" s="27"/>
      <c r="I139" s="133"/>
      <c r="J139" s="2"/>
      <c r="K139" s="2"/>
      <c r="L139" s="2"/>
      <c r="M139" s="2"/>
      <c r="N139" s="2"/>
      <c r="O139" s="2"/>
      <c r="P139" s="2"/>
      <c r="Q139" s="2"/>
    </row>
    <row r="140" spans="1:17" x14ac:dyDescent="0.85">
      <c r="A140" s="17"/>
      <c r="B140" s="27" t="s">
        <v>136</v>
      </c>
      <c r="C140" s="28">
        <f>C45</f>
        <v>1043.4782608695652</v>
      </c>
      <c r="D140" s="25" t="s">
        <v>33</v>
      </c>
      <c r="E140" s="9"/>
      <c r="F140" s="27"/>
      <c r="G140" s="25"/>
      <c r="H140" s="27"/>
      <c r="I140" s="133"/>
      <c r="J140" s="2"/>
      <c r="K140" s="2"/>
      <c r="L140" s="2"/>
      <c r="M140" s="2"/>
      <c r="N140" s="2"/>
      <c r="O140" s="2"/>
      <c r="P140" s="2"/>
      <c r="Q140" s="2"/>
    </row>
    <row r="141" spans="1:17" x14ac:dyDescent="0.85">
      <c r="B141" s="27" t="s">
        <v>137</v>
      </c>
      <c r="C141" s="30">
        <f>C140/C139</f>
        <v>0.11694831829368335</v>
      </c>
      <c r="D141" s="25"/>
      <c r="E141" s="9"/>
      <c r="F141" s="27"/>
      <c r="G141" s="25"/>
      <c r="H141" s="27"/>
      <c r="I141" s="133"/>
      <c r="J141" s="2"/>
      <c r="K141" s="2"/>
      <c r="L141" s="2"/>
      <c r="M141" s="2"/>
      <c r="N141" s="2"/>
      <c r="O141" s="2"/>
      <c r="P141" s="2"/>
      <c r="Q141" s="2"/>
    </row>
    <row r="142" spans="1:17" x14ac:dyDescent="0.85">
      <c r="B142" s="25" t="s">
        <v>139</v>
      </c>
      <c r="C142" s="28"/>
      <c r="D142" s="25"/>
      <c r="E142" s="9"/>
      <c r="F142" s="80" t="s">
        <v>208</v>
      </c>
      <c r="G142" s="80" t="s">
        <v>209</v>
      </c>
      <c r="H142" s="80" t="s">
        <v>211</v>
      </c>
      <c r="I142" s="80" t="s">
        <v>212</v>
      </c>
      <c r="J142" s="2"/>
      <c r="K142" s="2"/>
      <c r="L142" s="2"/>
      <c r="M142" s="2"/>
      <c r="N142" s="2"/>
      <c r="O142" s="2"/>
      <c r="P142" s="2"/>
      <c r="Q142" s="2"/>
    </row>
    <row r="143" spans="1:17" x14ac:dyDescent="0.85">
      <c r="A143" s="15"/>
      <c r="B143" s="27" t="s">
        <v>140</v>
      </c>
      <c r="C143" s="28">
        <f>C44</f>
        <v>1565.2173913043478</v>
      </c>
      <c r="D143" s="25" t="s">
        <v>33</v>
      </c>
      <c r="E143" s="9"/>
      <c r="F143" s="80">
        <v>1</v>
      </c>
      <c r="G143" s="80">
        <f>C148</f>
        <v>6292.6657883179623</v>
      </c>
      <c r="H143" s="88">
        <f>C147</f>
        <v>0.24873677451774098</v>
      </c>
      <c r="I143" s="80">
        <f>C145</f>
        <v>10487.776313863271</v>
      </c>
      <c r="J143" s="59"/>
      <c r="K143" s="2"/>
      <c r="L143" s="2"/>
      <c r="M143" s="2"/>
      <c r="N143" s="2"/>
      <c r="O143" s="2"/>
      <c r="P143" s="2"/>
      <c r="Q143" s="2"/>
    </row>
    <row r="144" spans="1:17" x14ac:dyDescent="0.85">
      <c r="A144" s="15"/>
      <c r="B144" s="27" t="s">
        <v>141</v>
      </c>
      <c r="C144" s="30">
        <v>1</v>
      </c>
      <c r="D144" s="25"/>
      <c r="E144" s="9"/>
      <c r="F144" s="80">
        <v>2</v>
      </c>
      <c r="G144" s="80">
        <f>C153</f>
        <v>9129.1348265261313</v>
      </c>
      <c r="H144" s="88">
        <f>C152</f>
        <v>0.17145298224278202</v>
      </c>
      <c r="I144" s="80">
        <f>C150</f>
        <v>15215.224710876886</v>
      </c>
      <c r="J144" s="2"/>
      <c r="K144" s="2"/>
      <c r="L144" s="2"/>
      <c r="M144" s="2"/>
      <c r="N144" s="2"/>
      <c r="O144" s="2"/>
      <c r="P144" s="2"/>
      <c r="Q144" s="2"/>
    </row>
    <row r="145" spans="1:17" x14ac:dyDescent="0.85">
      <c r="A145" s="15"/>
      <c r="B145" s="27" t="s">
        <v>142</v>
      </c>
      <c r="C145" s="28">
        <f>C139+C143</f>
        <v>10487.776313863271</v>
      </c>
      <c r="D145" s="25" t="s">
        <v>33</v>
      </c>
      <c r="E145" s="9"/>
      <c r="F145" s="80">
        <v>3</v>
      </c>
      <c r="G145" s="80">
        <f>C158</f>
        <v>10831.016249451031</v>
      </c>
      <c r="H145" s="88">
        <f>C157</f>
        <v>0.14451251436204618</v>
      </c>
      <c r="I145" s="80">
        <f>C155</f>
        <v>18051.693749085054</v>
      </c>
      <c r="J145" s="2"/>
      <c r="K145" s="2"/>
      <c r="L145" s="2"/>
      <c r="M145" s="2"/>
      <c r="N145" s="2"/>
      <c r="O145" s="2"/>
      <c r="P145" s="2"/>
      <c r="Q145" s="2"/>
    </row>
    <row r="146" spans="1:17" x14ac:dyDescent="0.85">
      <c r="A146" s="15"/>
      <c r="B146" s="27" t="s">
        <v>143</v>
      </c>
      <c r="C146" s="28">
        <f>C140+C143</f>
        <v>2608.695652173913</v>
      </c>
      <c r="D146" s="25" t="s">
        <v>33</v>
      </c>
      <c r="E146" s="9"/>
      <c r="F146" s="80">
        <v>4</v>
      </c>
      <c r="G146" s="80">
        <f>C163</f>
        <v>11852.14510320597</v>
      </c>
      <c r="H146" s="88">
        <f>C162</f>
        <v>0.1320619497715195</v>
      </c>
      <c r="I146" s="80">
        <f>C160</f>
        <v>19753.575172009954</v>
      </c>
      <c r="J146" s="2"/>
      <c r="K146" s="2"/>
      <c r="L146" s="2"/>
      <c r="M146" s="2"/>
      <c r="N146" s="2"/>
      <c r="O146" s="2"/>
      <c r="P146" s="2"/>
      <c r="Q146" s="2"/>
    </row>
    <row r="147" spans="1:17" x14ac:dyDescent="0.85">
      <c r="A147" s="15"/>
      <c r="B147" s="27" t="s">
        <v>144</v>
      </c>
      <c r="C147" s="30">
        <f>C146/C145</f>
        <v>0.24873677451774098</v>
      </c>
      <c r="D147" s="25"/>
      <c r="E147" s="9"/>
      <c r="F147" s="80">
        <v>5</v>
      </c>
      <c r="G147" s="80">
        <f>C168</f>
        <v>12464.822415458935</v>
      </c>
      <c r="H147" s="88">
        <f>C167</f>
        <v>0.12557077342418912</v>
      </c>
      <c r="I147" s="80">
        <f>C165</f>
        <v>20774.704025764891</v>
      </c>
      <c r="J147" s="2"/>
      <c r="K147" s="2"/>
      <c r="L147" s="2"/>
      <c r="M147" s="2"/>
      <c r="N147" s="2"/>
      <c r="O147" s="2"/>
      <c r="P147" s="2"/>
      <c r="Q147" s="2"/>
    </row>
    <row r="148" spans="1:17" x14ac:dyDescent="0.85">
      <c r="A148" s="15"/>
      <c r="B148" s="58" t="str">
        <f>"Perimeter minimum flow rate with "&amp;TEXT(C147,"##%")&amp;" outdoor air - "</f>
        <v xml:space="preserve">Perimeter minimum flow rate with 25% outdoor air - </v>
      </c>
      <c r="C148" s="28">
        <f>$C$143/C147</f>
        <v>6292.6657883179623</v>
      </c>
      <c r="D148" s="25" t="s">
        <v>33</v>
      </c>
      <c r="E148" s="9"/>
      <c r="F148" s="80"/>
      <c r="G148" s="80"/>
      <c r="H148" s="27"/>
      <c r="I148" s="133"/>
      <c r="J148" s="2"/>
      <c r="K148" s="2"/>
      <c r="L148" s="2"/>
      <c r="M148" s="2"/>
      <c r="N148" s="2"/>
      <c r="O148" s="2"/>
      <c r="P148" s="2"/>
      <c r="Q148" s="2"/>
    </row>
    <row r="149" spans="1:17" x14ac:dyDescent="0.85">
      <c r="A149" s="15"/>
      <c r="B149" s="25" t="s">
        <v>145</v>
      </c>
      <c r="C149" s="28"/>
      <c r="D149" s="25"/>
      <c r="E149" s="9"/>
      <c r="F149" s="80"/>
      <c r="G149" s="80"/>
      <c r="H149" s="27"/>
      <c r="I149" s="133"/>
      <c r="J149" s="2"/>
      <c r="K149" s="2"/>
      <c r="L149" s="2"/>
      <c r="M149" s="2"/>
      <c r="N149" s="2"/>
      <c r="O149" s="2"/>
      <c r="P149" s="2"/>
      <c r="Q149" s="2"/>
    </row>
    <row r="150" spans="1:17" x14ac:dyDescent="0.85">
      <c r="B150" s="58" t="str">
        <f>"Total minimum flow rate with "&amp;TEXT(C147,"##%")&amp;" outdoor air - "</f>
        <v xml:space="preserve">Total minimum flow rate with 25% outdoor air - </v>
      </c>
      <c r="C150" s="28">
        <f>$C$139+C148</f>
        <v>15215.224710876886</v>
      </c>
      <c r="D150" s="25" t="s">
        <v>33</v>
      </c>
      <c r="E150" s="9"/>
      <c r="F150" s="80"/>
      <c r="G150" s="80"/>
      <c r="H150" s="27"/>
      <c r="I150" s="133"/>
      <c r="J150" s="2"/>
      <c r="K150" s="2"/>
      <c r="L150" s="2"/>
      <c r="M150" s="2"/>
      <c r="N150" s="2"/>
      <c r="O150" s="2"/>
      <c r="P150" s="2"/>
      <c r="Q150" s="2"/>
    </row>
    <row r="151" spans="1:17" x14ac:dyDescent="0.85">
      <c r="B151" s="27" t="s">
        <v>143</v>
      </c>
      <c r="C151" s="28">
        <f>$C$146</f>
        <v>2608.695652173913</v>
      </c>
      <c r="D151" s="25" t="s">
        <v>33</v>
      </c>
      <c r="E151" s="9"/>
      <c r="F151" s="80"/>
      <c r="G151" s="80"/>
      <c r="H151" s="27"/>
      <c r="I151" s="133"/>
      <c r="J151" s="2"/>
      <c r="K151" s="2"/>
      <c r="L151" s="2"/>
      <c r="M151" s="2"/>
      <c r="N151" s="2"/>
      <c r="O151" s="2"/>
      <c r="P151" s="2"/>
      <c r="Q151" s="2"/>
    </row>
    <row r="152" spans="1:17" x14ac:dyDescent="0.85">
      <c r="B152" s="27" t="s">
        <v>144</v>
      </c>
      <c r="C152" s="30">
        <f>C151/C150</f>
        <v>0.17145298224278202</v>
      </c>
      <c r="D152" s="25"/>
      <c r="E152" s="9"/>
      <c r="F152" s="80"/>
      <c r="G152" s="80"/>
      <c r="H152" s="27"/>
      <c r="I152" s="133"/>
      <c r="J152" s="2"/>
      <c r="K152" s="2"/>
      <c r="L152" s="2"/>
      <c r="M152" s="2"/>
      <c r="N152" s="2"/>
      <c r="O152" s="2"/>
      <c r="P152" s="2"/>
      <c r="Q152" s="2"/>
    </row>
    <row r="153" spans="1:17" x14ac:dyDescent="0.85">
      <c r="B153" s="58" t="str">
        <f>"Perimeter minimum flow rate with "&amp;TEXT(C152,"##%")&amp;" outdoor air - "</f>
        <v xml:space="preserve">Perimeter minimum flow rate with 17% outdoor air - </v>
      </c>
      <c r="C153" s="28">
        <f>$C$143/C152</f>
        <v>9129.1348265261313</v>
      </c>
      <c r="D153" s="25" t="s">
        <v>33</v>
      </c>
      <c r="E153" s="9"/>
      <c r="F153" s="80"/>
      <c r="G153" s="80"/>
      <c r="H153" s="27"/>
      <c r="I153" s="133"/>
      <c r="J153" s="2"/>
      <c r="K153" s="2"/>
      <c r="L153" s="2"/>
      <c r="M153" s="2"/>
      <c r="N153" s="2"/>
      <c r="O153" s="2"/>
      <c r="P153" s="2"/>
      <c r="Q153" s="2"/>
    </row>
    <row r="154" spans="1:17" x14ac:dyDescent="0.85">
      <c r="B154" s="25" t="s">
        <v>146</v>
      </c>
      <c r="C154" s="28"/>
      <c r="D154" s="25"/>
      <c r="E154" s="9"/>
      <c r="F154" s="80"/>
      <c r="G154" s="80"/>
      <c r="H154" s="27"/>
      <c r="I154" s="133"/>
      <c r="J154" s="2"/>
      <c r="K154" s="2"/>
      <c r="L154" s="2"/>
      <c r="M154" s="2"/>
      <c r="N154" s="2"/>
      <c r="O154" s="2"/>
      <c r="P154" s="2"/>
      <c r="Q154" s="2"/>
    </row>
    <row r="155" spans="1:17" x14ac:dyDescent="0.85">
      <c r="B155" s="58" t="str">
        <f>"Total minimum flow rate with "&amp;TEXT(C152,"##%")&amp;" outdoor air - "</f>
        <v xml:space="preserve">Total minimum flow rate with 17% outdoor air - </v>
      </c>
      <c r="C155" s="28">
        <f>$C$139+C153</f>
        <v>18051.693749085054</v>
      </c>
      <c r="D155" s="25" t="s">
        <v>33</v>
      </c>
      <c r="E155" s="9"/>
      <c r="F155" s="27"/>
      <c r="G155" s="25"/>
      <c r="H155" s="27"/>
      <c r="I155" s="133"/>
      <c r="J155" s="2"/>
      <c r="K155" s="2"/>
      <c r="L155" s="2"/>
      <c r="M155" s="2"/>
      <c r="N155" s="2"/>
      <c r="O155" s="2"/>
      <c r="P155" s="2"/>
      <c r="Q155" s="2"/>
    </row>
    <row r="156" spans="1:17" x14ac:dyDescent="0.85">
      <c r="B156" s="27" t="s">
        <v>143</v>
      </c>
      <c r="C156" s="28">
        <f>$C$146</f>
        <v>2608.695652173913</v>
      </c>
      <c r="D156" s="25" t="s">
        <v>33</v>
      </c>
      <c r="E156" s="9"/>
      <c r="F156" s="27"/>
      <c r="G156" s="25"/>
      <c r="H156" s="27"/>
      <c r="I156" s="133"/>
      <c r="J156" s="2"/>
      <c r="K156" s="2"/>
      <c r="L156" s="2"/>
      <c r="M156" s="2"/>
      <c r="N156" s="2"/>
      <c r="O156" s="2"/>
      <c r="P156" s="2"/>
      <c r="Q156" s="2"/>
    </row>
    <row r="157" spans="1:17" x14ac:dyDescent="0.85">
      <c r="B157" s="27" t="s">
        <v>144</v>
      </c>
      <c r="C157" s="30">
        <f>C156/C155</f>
        <v>0.14451251436204618</v>
      </c>
      <c r="D157" s="25"/>
      <c r="E157" s="9"/>
      <c r="F157" s="27"/>
      <c r="G157" s="25"/>
      <c r="H157" s="27"/>
      <c r="I157" s="133"/>
      <c r="J157" s="2"/>
      <c r="K157" s="2"/>
      <c r="L157" s="2"/>
      <c r="M157" s="2"/>
      <c r="N157" s="2"/>
      <c r="O157" s="2"/>
      <c r="P157" s="2"/>
      <c r="Q157" s="2"/>
    </row>
    <row r="158" spans="1:17" x14ac:dyDescent="0.85">
      <c r="B158" s="58" t="str">
        <f>"Perimeter minimum flow rate with "&amp;TEXT(C157,"##%")&amp;" outdoor air - "</f>
        <v xml:space="preserve">Perimeter minimum flow rate with 14% outdoor air - </v>
      </c>
      <c r="C158" s="28">
        <f>$C$143/C157</f>
        <v>10831.016249451031</v>
      </c>
      <c r="D158" s="25" t="s">
        <v>33</v>
      </c>
      <c r="E158" s="9"/>
      <c r="F158" s="27"/>
      <c r="G158" s="25"/>
      <c r="H158" s="27"/>
      <c r="I158" s="133"/>
      <c r="J158" s="2"/>
      <c r="K158" s="2"/>
      <c r="L158" s="2"/>
      <c r="M158" s="2"/>
      <c r="N158" s="2"/>
      <c r="O158" s="2"/>
      <c r="P158" s="2"/>
      <c r="Q158" s="2"/>
    </row>
    <row r="159" spans="1:17" x14ac:dyDescent="0.85">
      <c r="B159" s="25" t="s">
        <v>147</v>
      </c>
      <c r="C159" s="28"/>
      <c r="D159" s="25"/>
      <c r="E159" s="9"/>
      <c r="F159" s="27"/>
      <c r="G159" s="25"/>
      <c r="H159" s="27"/>
      <c r="I159" s="133"/>
      <c r="J159" s="2"/>
      <c r="K159" s="2"/>
      <c r="L159" s="2"/>
      <c r="M159" s="2"/>
      <c r="N159" s="2"/>
      <c r="O159" s="2"/>
      <c r="P159" s="2"/>
      <c r="Q159" s="2"/>
    </row>
    <row r="160" spans="1:17" x14ac:dyDescent="0.85">
      <c r="B160" s="58" t="str">
        <f>"Total minimum flow rate with "&amp;TEXT(C157,"##%")&amp;" outdoor air - "</f>
        <v xml:space="preserve">Total minimum flow rate with 14% outdoor air - </v>
      </c>
      <c r="C160" s="28">
        <f>$C$139+C158</f>
        <v>19753.575172009954</v>
      </c>
      <c r="D160" s="25" t="s">
        <v>33</v>
      </c>
      <c r="E160" s="9"/>
      <c r="F160" s="27"/>
      <c r="G160" s="25"/>
      <c r="H160" s="27"/>
      <c r="I160" s="133"/>
      <c r="J160" s="2"/>
      <c r="K160" s="2"/>
      <c r="L160" s="2"/>
      <c r="M160" s="2"/>
      <c r="N160" s="2"/>
      <c r="O160" s="2"/>
      <c r="P160" s="2"/>
      <c r="Q160" s="2"/>
    </row>
    <row r="161" spans="2:17" x14ac:dyDescent="0.85">
      <c r="B161" s="27" t="s">
        <v>143</v>
      </c>
      <c r="C161" s="28">
        <f>$C$146</f>
        <v>2608.695652173913</v>
      </c>
      <c r="D161" s="25" t="s">
        <v>33</v>
      </c>
      <c r="E161" s="9"/>
      <c r="F161" s="27"/>
      <c r="G161" s="25"/>
      <c r="H161" s="27"/>
      <c r="I161" s="133"/>
      <c r="J161" s="2"/>
      <c r="K161" s="2"/>
      <c r="L161" s="2"/>
      <c r="M161" s="2"/>
      <c r="N161" s="2"/>
      <c r="O161" s="2"/>
      <c r="P161" s="2"/>
      <c r="Q161" s="2"/>
    </row>
    <row r="162" spans="2:17" x14ac:dyDescent="0.85">
      <c r="B162" s="27" t="s">
        <v>144</v>
      </c>
      <c r="C162" s="30">
        <f>C161/C160</f>
        <v>0.1320619497715195</v>
      </c>
      <c r="D162" s="25"/>
      <c r="E162" s="9"/>
      <c r="F162" s="27"/>
      <c r="G162" s="25"/>
      <c r="H162" s="27"/>
      <c r="I162" s="133"/>
      <c r="J162" s="2"/>
      <c r="K162" s="2"/>
      <c r="L162" s="2"/>
      <c r="M162" s="2"/>
      <c r="N162" s="2"/>
      <c r="O162" s="2"/>
      <c r="P162" s="2"/>
      <c r="Q162" s="2"/>
    </row>
    <row r="163" spans="2:17" x14ac:dyDescent="0.85">
      <c r="B163" s="58" t="str">
        <f>"Perimeter minimum flow rate with "&amp;TEXT(C162,"##%")&amp;" outdoor air - "</f>
        <v xml:space="preserve">Perimeter minimum flow rate with 13% outdoor air - </v>
      </c>
      <c r="C163" s="28">
        <f>$C$143/C162</f>
        <v>11852.14510320597</v>
      </c>
      <c r="D163" s="25" t="s">
        <v>33</v>
      </c>
      <c r="E163" s="9"/>
      <c r="F163" s="27"/>
      <c r="G163" s="25"/>
      <c r="H163" s="27"/>
      <c r="I163" s="133"/>
      <c r="J163" s="2"/>
      <c r="K163" s="2"/>
      <c r="L163" s="2"/>
      <c r="M163" s="2"/>
      <c r="N163" s="2"/>
      <c r="O163" s="2"/>
      <c r="P163" s="2"/>
      <c r="Q163" s="2"/>
    </row>
    <row r="164" spans="2:17" x14ac:dyDescent="0.85">
      <c r="B164" s="25" t="s">
        <v>148</v>
      </c>
      <c r="C164" s="28"/>
      <c r="D164" s="25"/>
      <c r="E164" s="9"/>
      <c r="F164" s="27"/>
      <c r="G164" s="25"/>
      <c r="H164" s="27"/>
      <c r="I164" s="133"/>
      <c r="J164" s="2"/>
      <c r="K164" s="2"/>
      <c r="L164" s="2"/>
      <c r="M164" s="2"/>
      <c r="N164" s="2"/>
      <c r="O164" s="2"/>
      <c r="P164" s="2"/>
      <c r="Q164" s="2"/>
    </row>
    <row r="165" spans="2:17" x14ac:dyDescent="0.85">
      <c r="B165" s="58" t="str">
        <f>"Total minimum flow rate with "&amp;TEXT(C162,"##%")&amp;" outdoor air - "</f>
        <v xml:space="preserve">Total minimum flow rate with 13% outdoor air - </v>
      </c>
      <c r="C165" s="28">
        <f>$C$139+C163</f>
        <v>20774.704025764891</v>
      </c>
      <c r="D165" s="25" t="s">
        <v>33</v>
      </c>
      <c r="E165" s="9"/>
      <c r="F165" s="27"/>
      <c r="G165" s="25"/>
      <c r="H165" s="27"/>
      <c r="I165" s="133"/>
      <c r="J165" s="2"/>
      <c r="K165" s="2"/>
      <c r="L165" s="2"/>
      <c r="M165" s="2"/>
      <c r="N165" s="2"/>
      <c r="O165" s="2"/>
      <c r="P165" s="2"/>
      <c r="Q165" s="2"/>
    </row>
    <row r="166" spans="2:17" x14ac:dyDescent="0.85">
      <c r="B166" s="27" t="s">
        <v>143</v>
      </c>
      <c r="C166" s="28">
        <f>$C$146</f>
        <v>2608.695652173913</v>
      </c>
      <c r="D166" s="25" t="s">
        <v>33</v>
      </c>
      <c r="E166" s="9"/>
      <c r="F166" s="27"/>
      <c r="G166" s="25"/>
      <c r="H166" s="27"/>
      <c r="I166" s="133"/>
      <c r="J166" s="2"/>
      <c r="K166" s="2"/>
      <c r="L166" s="2"/>
      <c r="M166" s="2"/>
      <c r="N166" s="2"/>
      <c r="O166" s="2"/>
      <c r="P166" s="2"/>
      <c r="Q166" s="2"/>
    </row>
    <row r="167" spans="2:17" x14ac:dyDescent="0.85">
      <c r="B167" s="27" t="s">
        <v>144</v>
      </c>
      <c r="C167" s="30">
        <f>C166/C165</f>
        <v>0.12557077342418912</v>
      </c>
      <c r="D167" s="25"/>
      <c r="E167" s="9"/>
      <c r="F167" s="27"/>
      <c r="G167" s="25"/>
      <c r="H167" s="27"/>
      <c r="I167" s="133"/>
      <c r="J167" s="2"/>
      <c r="K167" s="2"/>
      <c r="L167" s="2"/>
      <c r="M167" s="2"/>
      <c r="N167" s="2"/>
      <c r="O167" s="2"/>
      <c r="P167" s="2"/>
      <c r="Q167" s="2"/>
    </row>
    <row r="168" spans="2:17" x14ac:dyDescent="0.85">
      <c r="B168" s="58" t="str">
        <f>"Perimeter minimum flow rate with "&amp;TEXT(C167,"##%")&amp;" outdoor air - "</f>
        <v xml:space="preserve">Perimeter minimum flow rate with 13% outdoor air - </v>
      </c>
      <c r="C168" s="28">
        <f>$C$143/C167</f>
        <v>12464.822415458935</v>
      </c>
      <c r="D168" s="25" t="s">
        <v>149</v>
      </c>
      <c r="E168" s="9"/>
      <c r="F168" s="27"/>
      <c r="G168" s="25"/>
      <c r="H168" s="27"/>
      <c r="I168" s="133"/>
      <c r="J168" s="2"/>
      <c r="K168" s="2"/>
      <c r="L168" s="2"/>
      <c r="M168" s="2"/>
      <c r="N168" s="2"/>
      <c r="O168" s="2"/>
      <c r="P168" s="2"/>
      <c r="Q168" s="2"/>
    </row>
    <row r="169" spans="2:17" x14ac:dyDescent="0.85">
      <c r="B169" s="25" t="s">
        <v>227</v>
      </c>
      <c r="C169" s="28"/>
      <c r="D169" s="25"/>
      <c r="E169" s="9"/>
      <c r="F169" s="27"/>
      <c r="G169" s="25"/>
      <c r="H169" s="27"/>
      <c r="I169" s="133"/>
      <c r="J169" s="2"/>
      <c r="K169" s="2"/>
      <c r="L169" s="2"/>
      <c r="M169" s="2"/>
      <c r="N169" s="2"/>
      <c r="O169" s="2"/>
      <c r="P169" s="2"/>
      <c r="Q169" s="2"/>
    </row>
    <row r="170" spans="2:17" x14ac:dyDescent="0.85">
      <c r="B170" s="27" t="s">
        <v>229</v>
      </c>
      <c r="C170" s="30">
        <f>'Mixed Air Temp Calcs'!D46</f>
        <v>0.30744336569579289</v>
      </c>
      <c r="D170" s="25"/>
      <c r="E170" s="9"/>
      <c r="F170" s="27"/>
      <c r="G170" s="25"/>
      <c r="H170" s="27"/>
      <c r="I170" s="133"/>
      <c r="J170" s="2"/>
      <c r="K170" s="2"/>
      <c r="L170" s="2"/>
      <c r="M170" s="2"/>
      <c r="N170" s="2"/>
      <c r="O170" s="2"/>
      <c r="P170" s="2"/>
      <c r="Q170" s="2"/>
    </row>
    <row r="171" spans="2:17" x14ac:dyDescent="0.85">
      <c r="B171" s="27" t="s">
        <v>228</v>
      </c>
      <c r="C171" s="30">
        <f>'Mixed Air Temp Calcs'!D38</f>
        <v>0.23255813953488372</v>
      </c>
      <c r="D171" s="25"/>
      <c r="E171" s="9"/>
      <c r="F171" s="27"/>
      <c r="G171" s="25"/>
      <c r="H171" s="27"/>
      <c r="I171" s="133"/>
      <c r="J171" s="2"/>
      <c r="K171" s="2"/>
      <c r="L171" s="2"/>
      <c r="M171" s="2"/>
      <c r="N171" s="2"/>
      <c r="O171" s="2"/>
      <c r="P171" s="2"/>
      <c r="Q171" s="2"/>
    </row>
    <row r="172" spans="2:17" x14ac:dyDescent="0.85">
      <c r="B172" s="27" t="s">
        <v>230</v>
      </c>
      <c r="C172" s="30">
        <f>C171</f>
        <v>0.23255813953488372</v>
      </c>
      <c r="D172" s="25"/>
      <c r="E172" s="9"/>
      <c r="F172" s="27"/>
      <c r="G172" s="25"/>
      <c r="H172" s="27"/>
      <c r="I172" s="133"/>
      <c r="J172" s="2"/>
      <c r="K172" s="2"/>
      <c r="L172" s="2"/>
      <c r="M172" s="2"/>
      <c r="N172" s="2"/>
      <c r="O172" s="2"/>
      <c r="P172" s="2"/>
      <c r="Q172" s="2"/>
    </row>
    <row r="173" spans="2:17" x14ac:dyDescent="0.85">
      <c r="B173" s="25" t="s">
        <v>215</v>
      </c>
      <c r="C173" s="28"/>
      <c r="D173" s="25"/>
      <c r="E173" s="9"/>
      <c r="F173" s="27"/>
      <c r="G173" s="25"/>
      <c r="H173" s="27"/>
      <c r="I173" s="133"/>
      <c r="J173" s="2"/>
      <c r="K173" s="2"/>
      <c r="L173" s="2"/>
      <c r="M173" s="2"/>
      <c r="N173" s="2"/>
      <c r="O173" s="2"/>
      <c r="P173" s="2"/>
      <c r="Q173" s="2"/>
    </row>
    <row r="174" spans="2:17" x14ac:dyDescent="0.85">
      <c r="B174" s="27" t="s">
        <v>213</v>
      </c>
      <c r="C174" s="28">
        <f>C143/C172</f>
        <v>6730.4347826086951</v>
      </c>
      <c r="D174" s="25" t="s">
        <v>33</v>
      </c>
      <c r="E174" s="9"/>
      <c r="F174" s="27"/>
      <c r="G174" s="25"/>
      <c r="H174" s="27"/>
      <c r="I174" s="133"/>
      <c r="J174" s="2"/>
      <c r="K174" s="2"/>
      <c r="L174" s="2"/>
      <c r="M174" s="2"/>
      <c r="N174" s="2"/>
      <c r="O174" s="2"/>
      <c r="P174" s="2"/>
      <c r="Q174" s="2"/>
    </row>
    <row r="175" spans="2:17" x14ac:dyDescent="0.85">
      <c r="B175" s="27" t="s">
        <v>210</v>
      </c>
      <c r="C175" s="28">
        <f>C96</f>
        <v>53</v>
      </c>
      <c r="D175" s="25" t="s">
        <v>36</v>
      </c>
      <c r="E175" s="9"/>
      <c r="F175" s="27"/>
      <c r="G175" s="25"/>
      <c r="H175" s="27"/>
      <c r="I175" s="133"/>
      <c r="J175" s="2"/>
      <c r="K175" s="2"/>
      <c r="L175" s="2"/>
      <c r="M175" s="2"/>
      <c r="N175" s="2"/>
      <c r="O175" s="2"/>
      <c r="P175" s="2"/>
      <c r="Q175" s="2"/>
    </row>
    <row r="176" spans="2:17" x14ac:dyDescent="0.85">
      <c r="B176" s="27" t="s">
        <v>150</v>
      </c>
      <c r="C176" s="28">
        <f>C93</f>
        <v>75</v>
      </c>
      <c r="D176" s="25" t="s">
        <v>36</v>
      </c>
      <c r="E176" s="9"/>
      <c r="F176" s="27"/>
      <c r="G176" s="25"/>
      <c r="H176" s="27"/>
      <c r="I176" s="133"/>
      <c r="J176" s="2"/>
      <c r="K176" s="2"/>
      <c r="L176" s="2"/>
      <c r="M176" s="2"/>
      <c r="N176" s="2"/>
      <c r="O176" s="2"/>
      <c r="P176" s="2"/>
      <c r="Q176" s="2"/>
    </row>
    <row r="177" spans="1:17" x14ac:dyDescent="0.85">
      <c r="B177" s="27" t="s">
        <v>89</v>
      </c>
      <c r="C177" s="28">
        <f>1.08*C174*(C176-C175)</f>
        <v>159915.13043478259</v>
      </c>
      <c r="D177" s="25" t="s">
        <v>151</v>
      </c>
      <c r="E177" s="9"/>
      <c r="F177" s="27"/>
      <c r="G177" s="25"/>
      <c r="H177" s="27"/>
      <c r="I177" s="133"/>
      <c r="J177" s="2"/>
      <c r="K177" s="2"/>
      <c r="L177" s="2"/>
      <c r="M177" s="2"/>
      <c r="N177" s="2"/>
      <c r="O177" s="2"/>
      <c r="P177" s="2"/>
      <c r="Q177" s="2"/>
    </row>
    <row r="178" spans="1:17" x14ac:dyDescent="0.85">
      <c r="B178" s="27" t="s">
        <v>302</v>
      </c>
      <c r="C178" s="28">
        <f>(((C15-(2*C17))*C17)*C98)</f>
        <v>2355.5555555555557</v>
      </c>
      <c r="D178" s="103" t="s">
        <v>33</v>
      </c>
      <c r="E178" s="9"/>
      <c r="F178" s="27"/>
      <c r="G178" s="25"/>
      <c r="H178" s="27"/>
      <c r="I178" s="133"/>
      <c r="J178" s="2"/>
      <c r="K178" s="2"/>
      <c r="L178" s="2"/>
      <c r="M178" s="2"/>
      <c r="N178" s="2"/>
      <c r="O178" s="2"/>
      <c r="P178" s="2"/>
      <c r="Q178" s="2"/>
    </row>
    <row r="179" spans="1:17" x14ac:dyDescent="0.85">
      <c r="B179" s="27" t="s">
        <v>304</v>
      </c>
      <c r="C179" s="29">
        <f>(((C15-(2*C17))*C17)*C98)/500</f>
        <v>4.7111111111111112</v>
      </c>
      <c r="D179" s="25" t="s">
        <v>303</v>
      </c>
      <c r="E179" s="9"/>
      <c r="F179" s="27"/>
      <c r="G179" s="25"/>
      <c r="H179" s="27"/>
      <c r="I179" s="133"/>
      <c r="J179" s="2"/>
      <c r="K179" s="2"/>
      <c r="L179" s="2"/>
      <c r="M179" s="2"/>
      <c r="N179" s="2"/>
      <c r="O179" s="2"/>
      <c r="P179" s="2"/>
      <c r="Q179" s="2"/>
    </row>
    <row r="180" spans="1:17" x14ac:dyDescent="0.85">
      <c r="B180" s="27" t="s">
        <v>305</v>
      </c>
      <c r="C180" s="28">
        <v>170</v>
      </c>
      <c r="D180" s="25" t="s">
        <v>36</v>
      </c>
      <c r="E180" s="9"/>
      <c r="F180" s="27"/>
      <c r="G180" s="25"/>
      <c r="H180" s="27"/>
      <c r="I180" s="133"/>
      <c r="J180" s="2"/>
      <c r="K180" s="2"/>
      <c r="L180" s="2"/>
      <c r="M180" s="2"/>
      <c r="N180" s="2"/>
      <c r="O180" s="2"/>
      <c r="P180" s="2"/>
      <c r="Q180" s="2"/>
    </row>
    <row r="181" spans="1:17" x14ac:dyDescent="0.85">
      <c r="B181" s="27" t="s">
        <v>306</v>
      </c>
      <c r="C181" s="28"/>
      <c r="D181" s="25" t="s">
        <v>307</v>
      </c>
      <c r="E181" s="9"/>
      <c r="F181" s="27"/>
      <c r="G181" s="25"/>
      <c r="H181" s="27"/>
      <c r="I181" s="133"/>
      <c r="J181" s="2"/>
      <c r="K181" s="2"/>
      <c r="L181" s="2"/>
      <c r="M181" s="2"/>
      <c r="N181" s="2"/>
      <c r="O181" s="2"/>
      <c r="P181" s="2"/>
      <c r="Q181" s="2"/>
    </row>
    <row r="182" spans="1:17" x14ac:dyDescent="0.85">
      <c r="B182" s="27" t="s">
        <v>216</v>
      </c>
      <c r="C182" s="28">
        <f>C174+C139</f>
        <v>15652.993705167617</v>
      </c>
      <c r="D182" s="25" t="s">
        <v>33</v>
      </c>
      <c r="E182" s="9"/>
      <c r="F182" s="27"/>
      <c r="G182" s="25"/>
      <c r="H182" s="27"/>
      <c r="I182" s="133"/>
      <c r="J182" s="2"/>
      <c r="K182" s="2"/>
      <c r="L182" s="2"/>
      <c r="M182" s="2"/>
      <c r="N182" s="2"/>
      <c r="O182" s="2"/>
      <c r="P182" s="2"/>
      <c r="Q182" s="2"/>
    </row>
    <row r="183" spans="1:17" x14ac:dyDescent="0.85">
      <c r="B183" s="27" t="s">
        <v>217</v>
      </c>
      <c r="C183" s="28">
        <f>C172*C182</f>
        <v>3640.2310942250269</v>
      </c>
      <c r="D183" s="25" t="s">
        <v>33</v>
      </c>
      <c r="E183" s="9"/>
      <c r="F183" s="27"/>
      <c r="G183" s="25"/>
      <c r="H183" s="27"/>
      <c r="I183" s="133"/>
      <c r="J183" s="2"/>
      <c r="K183" s="2"/>
      <c r="L183" s="2"/>
      <c r="M183" s="2"/>
      <c r="N183" s="2"/>
      <c r="O183" s="2"/>
      <c r="P183" s="2"/>
      <c r="Q183" s="2"/>
    </row>
    <row r="184" spans="1:17" x14ac:dyDescent="0.85">
      <c r="B184" s="27" t="s">
        <v>214</v>
      </c>
      <c r="C184" s="31">
        <f>'Mixed Air Temp Calcs'!D82</f>
        <v>53</v>
      </c>
      <c r="D184" s="25" t="s">
        <v>36</v>
      </c>
      <c r="E184" s="9"/>
      <c r="F184" s="27"/>
      <c r="G184" s="25"/>
      <c r="H184" s="27"/>
      <c r="I184" s="133"/>
      <c r="J184" s="2"/>
      <c r="K184" s="2"/>
      <c r="L184" s="2"/>
      <c r="M184" s="2"/>
      <c r="N184" s="2"/>
      <c r="O184" s="2"/>
      <c r="P184" s="2"/>
      <c r="Q184" s="2"/>
    </row>
    <row r="185" spans="1:17" x14ac:dyDescent="0.85">
      <c r="B185" s="27" t="s">
        <v>218</v>
      </c>
      <c r="C185" s="31">
        <f>'Mixed Air Temp Calcs'!D74</f>
        <v>-9.6999999999999957</v>
      </c>
      <c r="D185" s="25" t="s">
        <v>36</v>
      </c>
      <c r="E185" s="9"/>
      <c r="F185" s="27"/>
      <c r="G185" s="25"/>
      <c r="H185" s="27"/>
      <c r="I185" s="133"/>
      <c r="J185" s="2"/>
      <c r="K185" s="2"/>
      <c r="L185" s="2"/>
      <c r="M185" s="2"/>
      <c r="N185" s="2"/>
      <c r="O185" s="2"/>
      <c r="P185" s="2"/>
      <c r="Q185" s="2"/>
    </row>
    <row r="186" spans="1:17" x14ac:dyDescent="0.85">
      <c r="A186" s="53" t="s">
        <v>152</v>
      </c>
      <c r="B186" s="54"/>
      <c r="C186" s="54"/>
      <c r="D186" s="54"/>
      <c r="E186" s="55"/>
      <c r="F186" s="55"/>
      <c r="G186" s="55"/>
      <c r="H186" s="55"/>
      <c r="I186" s="55"/>
      <c r="J186" s="55"/>
      <c r="K186" s="55"/>
      <c r="L186" s="56"/>
      <c r="M186" s="55"/>
      <c r="N186" s="2"/>
      <c r="O186" s="2"/>
      <c r="P186" s="2"/>
      <c r="Q186" s="2"/>
    </row>
    <row r="187" spans="1:17" x14ac:dyDescent="0.85">
      <c r="B187" s="25" t="s">
        <v>153</v>
      </c>
      <c r="C187" s="28"/>
      <c r="D187" s="25"/>
      <c r="E187" s="9"/>
      <c r="F187" s="27"/>
      <c r="G187" s="25"/>
      <c r="H187" s="27"/>
      <c r="I187" s="133"/>
      <c r="J187" s="2"/>
      <c r="K187" s="2"/>
      <c r="L187" s="2"/>
      <c r="M187" s="2"/>
      <c r="N187" s="2"/>
      <c r="O187" s="2"/>
      <c r="P187" s="2"/>
      <c r="Q187" s="2"/>
    </row>
    <row r="188" spans="1:17" x14ac:dyDescent="0.85">
      <c r="B188" s="27" t="s">
        <v>154</v>
      </c>
      <c r="C188" s="28">
        <f>C131</f>
        <v>467433.04347826086</v>
      </c>
      <c r="D188" s="25" t="s">
        <v>59</v>
      </c>
      <c r="E188" s="9"/>
      <c r="F188" s="27"/>
      <c r="G188" s="25"/>
      <c r="H188" s="27"/>
      <c r="I188" s="133"/>
      <c r="J188" s="2"/>
      <c r="K188" s="2"/>
      <c r="L188" s="2"/>
      <c r="M188" s="2"/>
      <c r="N188" s="2"/>
      <c r="O188" s="2"/>
      <c r="P188" s="2"/>
      <c r="Q188" s="2"/>
    </row>
    <row r="189" spans="1:17" x14ac:dyDescent="0.85">
      <c r="B189" s="27" t="s">
        <v>93</v>
      </c>
      <c r="C189" s="28">
        <f>C118</f>
        <v>554090.90909090906</v>
      </c>
      <c r="D189" s="25" t="s">
        <v>155</v>
      </c>
      <c r="E189" s="9"/>
      <c r="F189" s="27"/>
      <c r="G189" s="25"/>
      <c r="H189" s="27"/>
      <c r="I189" s="133"/>
      <c r="J189" s="2"/>
      <c r="K189" s="2"/>
      <c r="L189" s="2"/>
      <c r="M189" s="2"/>
      <c r="N189" s="2"/>
      <c r="O189" s="2"/>
      <c r="P189" s="2"/>
      <c r="Q189" s="2"/>
    </row>
    <row r="190" spans="1:17" x14ac:dyDescent="0.85">
      <c r="B190" s="27" t="s">
        <v>89</v>
      </c>
      <c r="C190" s="28">
        <f>C177</f>
        <v>159915.13043478259</v>
      </c>
      <c r="D190" s="25" t="s">
        <v>59</v>
      </c>
      <c r="E190" s="9"/>
      <c r="F190" s="27"/>
      <c r="G190" s="25"/>
      <c r="H190" s="27"/>
      <c r="I190" s="133"/>
      <c r="J190" s="2"/>
      <c r="K190" s="2"/>
      <c r="L190" s="2"/>
      <c r="M190" s="2"/>
      <c r="N190" s="2"/>
      <c r="O190" s="2"/>
      <c r="P190" s="2"/>
      <c r="Q190" s="2"/>
    </row>
    <row r="191" spans="1:17" x14ac:dyDescent="0.85">
      <c r="B191" s="27" t="s">
        <v>156</v>
      </c>
      <c r="C191" s="28">
        <f>C188+C190</f>
        <v>627348.17391304346</v>
      </c>
      <c r="D191" s="25" t="s">
        <v>59</v>
      </c>
      <c r="E191" s="9"/>
      <c r="F191" s="27"/>
      <c r="G191" s="25"/>
      <c r="H191" s="27"/>
      <c r="I191" s="133"/>
      <c r="J191" s="2"/>
      <c r="K191" s="2"/>
      <c r="L191" s="2"/>
      <c r="M191" s="2"/>
      <c r="N191" s="2"/>
      <c r="O191" s="2"/>
      <c r="P191" s="2"/>
      <c r="Q191" s="2"/>
    </row>
    <row r="192" spans="1:17" x14ac:dyDescent="0.85">
      <c r="A192" s="60"/>
      <c r="B192" s="61" t="s">
        <v>157</v>
      </c>
      <c r="C192" s="62">
        <f>C188+C189</f>
        <v>1021523.9525691699</v>
      </c>
      <c r="D192" s="63" t="s">
        <v>59</v>
      </c>
      <c r="E192" s="63" t="s">
        <v>158</v>
      </c>
      <c r="F192" s="61"/>
      <c r="G192" s="63"/>
      <c r="H192" s="61"/>
      <c r="I192" s="134"/>
      <c r="J192" s="65"/>
      <c r="K192" s="65"/>
      <c r="L192" s="65"/>
      <c r="M192" s="65"/>
      <c r="N192" s="2"/>
      <c r="O192" s="2"/>
      <c r="P192" s="2"/>
      <c r="Q192" s="2"/>
    </row>
    <row r="193" spans="1:17" x14ac:dyDescent="0.85">
      <c r="A193" s="53" t="s">
        <v>301</v>
      </c>
      <c r="B193" s="54"/>
      <c r="C193" s="54"/>
      <c r="D193" s="54"/>
      <c r="E193" s="55"/>
      <c r="F193" s="55"/>
      <c r="G193" s="55"/>
      <c r="H193" s="55"/>
      <c r="I193" s="55"/>
      <c r="J193" s="55"/>
      <c r="K193" s="55"/>
      <c r="L193" s="56"/>
      <c r="M193" s="55"/>
      <c r="N193" s="2"/>
      <c r="O193" s="2"/>
      <c r="P193" s="2"/>
      <c r="Q193" s="2"/>
    </row>
    <row r="194" spans="1:17" s="81" customFormat="1" ht="54.9" x14ac:dyDescent="0.85">
      <c r="B194" s="82"/>
      <c r="C194" s="83" t="s">
        <v>198</v>
      </c>
      <c r="D194" s="83" t="s">
        <v>181</v>
      </c>
      <c r="E194" s="83" t="s">
        <v>205</v>
      </c>
      <c r="F194" s="83" t="s">
        <v>201</v>
      </c>
      <c r="G194" s="83" t="s">
        <v>199</v>
      </c>
      <c r="H194" s="86" t="s">
        <v>206</v>
      </c>
      <c r="I194" s="84" t="s">
        <v>207</v>
      </c>
      <c r="J194" s="83" t="s">
        <v>200</v>
      </c>
      <c r="K194" s="82" t="s">
        <v>202</v>
      </c>
      <c r="L194" s="85"/>
      <c r="M194" s="85"/>
      <c r="N194" s="85"/>
      <c r="O194" s="85"/>
      <c r="P194" s="85"/>
      <c r="Q194" s="85"/>
    </row>
    <row r="195" spans="1:17" x14ac:dyDescent="0.85">
      <c r="B195" s="27" t="s">
        <v>197</v>
      </c>
      <c r="C195" s="9">
        <f>'First Floor FTR'!E29</f>
        <v>198659.04347826089</v>
      </c>
      <c r="D195" s="9">
        <f>'First Floor FTR'!E32</f>
        <v>816.2</v>
      </c>
      <c r="E195" s="9">
        <f>'First Floor FTR'!E33</f>
        <v>243.39505449431621</v>
      </c>
      <c r="F195" s="9">
        <v>170</v>
      </c>
      <c r="G195" s="9">
        <f>'First Floor FTR'!R54</f>
        <v>4</v>
      </c>
      <c r="H195" s="87">
        <f>'First Floor FTR'!R50</f>
        <v>7.2</v>
      </c>
      <c r="I195" s="87">
        <f>'First Floor FTR'!R54*'First Floor FTR'!R50</f>
        <v>28.8</v>
      </c>
      <c r="J195" s="9">
        <f>'First Floor FTR'!R55</f>
        <v>13.795766908212562</v>
      </c>
      <c r="K195" s="9">
        <f>F195-J195</f>
        <v>156.20423309178744</v>
      </c>
      <c r="L195" s="2"/>
      <c r="M195" s="2"/>
      <c r="N195" s="2"/>
      <c r="O195" s="2"/>
      <c r="P195" s="2"/>
      <c r="Q195" s="2"/>
    </row>
    <row r="196" spans="1:17" x14ac:dyDescent="0.85">
      <c r="B196" s="27" t="s">
        <v>203</v>
      </c>
      <c r="C196" s="9">
        <f>'Second Floor FTR'!E29</f>
        <v>268774</v>
      </c>
      <c r="D196" s="9">
        <f>'Second Floor FTR'!G44</f>
        <v>996.40000000000009</v>
      </c>
      <c r="E196" s="9">
        <f>'Second Floor FTR'!E33</f>
        <v>269.74508229626656</v>
      </c>
      <c r="F196" s="9">
        <f>F195</f>
        <v>170</v>
      </c>
      <c r="G196" s="9">
        <f>'Second Floor FTR'!R54</f>
        <v>4</v>
      </c>
      <c r="H196" s="87">
        <f>'Second Floor FTR'!R50</f>
        <v>7.2</v>
      </c>
      <c r="I196" s="87">
        <f>'Second Floor FTR'!R54*'Second Floor FTR'!R50</f>
        <v>28.8</v>
      </c>
      <c r="J196" s="9">
        <f>'Second Floor FTR'!R55</f>
        <v>18.664861111111112</v>
      </c>
      <c r="K196" s="9">
        <f>F196-J196</f>
        <v>151.33513888888888</v>
      </c>
      <c r="L196" s="2"/>
      <c r="M196" s="2"/>
      <c r="N196" s="2"/>
      <c r="O196" s="2"/>
      <c r="P196" s="2"/>
      <c r="Q196" s="2"/>
    </row>
    <row r="197" spans="1:17" x14ac:dyDescent="0.85">
      <c r="B197" s="27" t="s">
        <v>257</v>
      </c>
      <c r="C197" s="80">
        <f>'Warm-up Coil'!B9</f>
        <v>554090.90909090906</v>
      </c>
      <c r="D197" s="80" t="s">
        <v>258</v>
      </c>
      <c r="E197" s="80" t="s">
        <v>258</v>
      </c>
      <c r="F197" s="9">
        <f>'Warm-up Coil'!B11</f>
        <v>170</v>
      </c>
      <c r="G197" s="80" t="s">
        <v>258</v>
      </c>
      <c r="H197" s="80" t="s">
        <v>258</v>
      </c>
      <c r="I197" s="87">
        <f>'Warm-up Coil'!B14</f>
        <v>29.8</v>
      </c>
      <c r="J197" s="9">
        <f>C197/(500*I197)</f>
        <v>37.187309334960339</v>
      </c>
      <c r="K197" s="9">
        <f>F197-J197</f>
        <v>132.81269066503967</v>
      </c>
      <c r="L197" s="2"/>
      <c r="M197" s="2"/>
      <c r="N197" s="2"/>
      <c r="O197" s="2"/>
      <c r="P197" s="2"/>
      <c r="Q197" s="2"/>
    </row>
    <row r="198" spans="1:17" x14ac:dyDescent="0.85">
      <c r="B198" s="27" t="s">
        <v>204</v>
      </c>
      <c r="C198" s="9">
        <f>SUM(C195:C197)</f>
        <v>1021523.9525691699</v>
      </c>
      <c r="D198" s="9"/>
      <c r="E198" s="9">
        <f>SUM(E195:E196)</f>
        <v>513.1401367905828</v>
      </c>
      <c r="F198" s="9">
        <f>F195</f>
        <v>170</v>
      </c>
      <c r="G198" s="9">
        <f>SUM(G195:G196)</f>
        <v>8</v>
      </c>
      <c r="H198" s="9"/>
      <c r="I198" s="87">
        <f>SUM(I195:I197)</f>
        <v>87.4</v>
      </c>
      <c r="J198" s="9">
        <f>F198-K198</f>
        <v>23.3758341549009</v>
      </c>
      <c r="K198" s="9">
        <f>((I195*K195)+(I196*K196)+(I197*K197))/I198</f>
        <v>146.6241658450991</v>
      </c>
      <c r="L198" s="2"/>
      <c r="M198" s="2"/>
      <c r="N198" s="2"/>
      <c r="O198" s="2"/>
      <c r="P198" s="2"/>
      <c r="Q198" s="2"/>
    </row>
    <row r="199" spans="1:17" x14ac:dyDescent="0.85">
      <c r="B199" s="27"/>
      <c r="C199" s="9"/>
      <c r="D199" s="9"/>
      <c r="E199" s="9"/>
      <c r="F199" s="9"/>
      <c r="G199" s="9"/>
      <c r="H199" s="9"/>
      <c r="I199" s="133"/>
      <c r="J199" s="2"/>
      <c r="K199" s="2"/>
      <c r="L199" s="2"/>
      <c r="M199" s="2"/>
      <c r="N199" s="2"/>
      <c r="O199" s="2"/>
      <c r="P199" s="2"/>
      <c r="Q199" s="2"/>
    </row>
    <row r="200" spans="1:17" x14ac:dyDescent="0.85">
      <c r="B200" s="27"/>
      <c r="C200" s="9"/>
      <c r="D200" s="9"/>
      <c r="E200" s="9"/>
      <c r="F200" s="9"/>
      <c r="G200" s="9"/>
      <c r="H200" s="9"/>
      <c r="I200" s="133"/>
      <c r="J200" s="2"/>
      <c r="K200" s="2"/>
      <c r="L200" s="2"/>
      <c r="M200" s="2"/>
      <c r="N200" s="2"/>
      <c r="O200" s="2"/>
      <c r="P200" s="2"/>
      <c r="Q200" s="2"/>
    </row>
    <row r="201" spans="1:17" x14ac:dyDescent="0.85">
      <c r="B201" s="27"/>
      <c r="C201" s="28"/>
      <c r="D201" s="25"/>
      <c r="E201" s="9"/>
      <c r="F201" s="27"/>
      <c r="G201" s="25"/>
      <c r="H201" s="27"/>
      <c r="I201" s="133"/>
      <c r="J201" s="2"/>
      <c r="K201" s="2"/>
      <c r="L201" s="2"/>
      <c r="M201" s="2"/>
      <c r="N201" s="2"/>
      <c r="O201" s="2"/>
      <c r="P201" s="2"/>
      <c r="Q201" s="2"/>
    </row>
    <row r="202" spans="1:17" x14ac:dyDescent="0.85">
      <c r="B202" s="27"/>
      <c r="C202" s="28"/>
      <c r="D202" s="25"/>
      <c r="E202" s="9"/>
      <c r="F202" s="27"/>
      <c r="G202" s="25"/>
      <c r="H202" s="27"/>
      <c r="I202" s="133"/>
      <c r="J202" s="2"/>
      <c r="K202" s="2"/>
      <c r="L202" s="2"/>
      <c r="M202" s="2"/>
      <c r="N202" s="2"/>
      <c r="O202" s="2"/>
      <c r="P202" s="2"/>
      <c r="Q202" s="2"/>
    </row>
    <row r="203" spans="1:17" x14ac:dyDescent="0.85">
      <c r="B203" s="27"/>
      <c r="C203" s="28"/>
      <c r="D203" s="25"/>
      <c r="E203" s="9"/>
      <c r="F203" s="27"/>
      <c r="G203" s="25"/>
      <c r="H203" s="27"/>
      <c r="I203" s="133"/>
      <c r="J203" s="2"/>
      <c r="K203" s="2"/>
      <c r="L203" s="2"/>
      <c r="M203" s="2"/>
      <c r="N203" s="2"/>
      <c r="O203" s="2"/>
      <c r="P203" s="2"/>
      <c r="Q203" s="2"/>
    </row>
    <row r="204" spans="1:17" x14ac:dyDescent="0.85">
      <c r="B204" s="27"/>
      <c r="C204" s="28"/>
      <c r="D204" s="25"/>
      <c r="E204" s="9"/>
      <c r="F204" s="27"/>
      <c r="G204" s="25"/>
      <c r="H204" s="27"/>
      <c r="I204" s="133"/>
      <c r="J204" s="2"/>
      <c r="K204" s="2"/>
      <c r="L204" s="2"/>
      <c r="M204" s="2"/>
      <c r="N204" s="2"/>
      <c r="O204" s="2"/>
      <c r="P204" s="2"/>
      <c r="Q204" s="2"/>
    </row>
    <row r="205" spans="1:17" x14ac:dyDescent="0.85">
      <c r="B205" s="27"/>
      <c r="C205" s="28"/>
      <c r="D205" s="25"/>
      <c r="E205" s="9"/>
      <c r="F205" s="27"/>
      <c r="G205" s="25"/>
      <c r="H205" s="27"/>
      <c r="I205" s="133"/>
      <c r="J205" s="2"/>
      <c r="K205" s="2"/>
      <c r="L205" s="2"/>
      <c r="M205" s="2"/>
      <c r="N205" s="2"/>
      <c r="O205" s="2"/>
      <c r="P205" s="2"/>
      <c r="Q205" s="2"/>
    </row>
    <row r="206" spans="1:17" x14ac:dyDescent="0.85">
      <c r="B206" s="27"/>
      <c r="C206" s="28"/>
      <c r="D206" s="25"/>
      <c r="E206" s="9"/>
      <c r="F206" s="27"/>
      <c r="G206" s="25"/>
      <c r="H206" s="27"/>
      <c r="I206" s="133"/>
      <c r="J206" s="2"/>
      <c r="K206" s="2"/>
      <c r="L206" s="2"/>
      <c r="M206" s="2"/>
      <c r="N206" s="2"/>
      <c r="O206" s="2"/>
      <c r="P206" s="2"/>
      <c r="Q206" s="2"/>
    </row>
    <row r="207" spans="1:17" x14ac:dyDescent="0.85">
      <c r="B207" s="27"/>
      <c r="C207" s="28"/>
      <c r="D207" s="25"/>
      <c r="E207" s="9"/>
      <c r="F207" s="27"/>
      <c r="G207" s="25"/>
      <c r="H207" s="27"/>
      <c r="I207" s="133"/>
      <c r="J207" s="2"/>
      <c r="K207" s="2"/>
      <c r="L207" s="2"/>
      <c r="M207" s="2"/>
      <c r="N207" s="2"/>
      <c r="O207" s="2"/>
      <c r="P207" s="2"/>
      <c r="Q207" s="2"/>
    </row>
    <row r="208" spans="1:17" x14ac:dyDescent="0.85">
      <c r="B208" s="27"/>
      <c r="C208" s="28"/>
      <c r="D208" s="25"/>
      <c r="E208" s="9"/>
      <c r="F208" s="27"/>
      <c r="G208" s="25"/>
      <c r="H208" s="27"/>
      <c r="I208" s="133"/>
      <c r="J208" s="2"/>
      <c r="K208" s="2"/>
      <c r="L208" s="2"/>
      <c r="M208" s="2"/>
      <c r="N208" s="2"/>
      <c r="O208" s="2"/>
      <c r="P208" s="2"/>
      <c r="Q208" s="2"/>
    </row>
    <row r="209" spans="2:17" x14ac:dyDescent="0.85">
      <c r="B209" s="27"/>
      <c r="C209" s="28"/>
      <c r="D209" s="25"/>
      <c r="E209" s="9"/>
      <c r="F209" s="27"/>
      <c r="G209" s="25"/>
      <c r="H209" s="27"/>
      <c r="I209" s="133"/>
      <c r="J209" s="2"/>
      <c r="K209" s="2"/>
      <c r="L209" s="2"/>
      <c r="M209" s="2"/>
      <c r="N209" s="2"/>
      <c r="O209" s="2"/>
      <c r="P209" s="2"/>
      <c r="Q209" s="2"/>
    </row>
    <row r="210" spans="2:17" x14ac:dyDescent="0.85">
      <c r="B210" s="27"/>
      <c r="C210" s="28"/>
      <c r="D210" s="25"/>
      <c r="E210" s="9"/>
      <c r="F210" s="27"/>
      <c r="G210" s="25"/>
      <c r="H210" s="27"/>
      <c r="I210" s="133"/>
      <c r="J210" s="2"/>
      <c r="K210" s="2"/>
      <c r="L210" s="2"/>
      <c r="M210" s="2"/>
      <c r="N210" s="2"/>
      <c r="O210" s="2"/>
      <c r="P210" s="2"/>
      <c r="Q210" s="2"/>
    </row>
    <row r="211" spans="2:17" x14ac:dyDescent="0.85">
      <c r="B211" s="27"/>
      <c r="C211" s="28"/>
      <c r="D211" s="25"/>
      <c r="E211" s="9"/>
      <c r="F211" s="27"/>
      <c r="G211" s="25"/>
      <c r="H211" s="27"/>
      <c r="I211" s="133"/>
      <c r="J211" s="2"/>
      <c r="K211" s="2"/>
      <c r="L211" s="2"/>
      <c r="M211" s="2"/>
      <c r="N211" s="2"/>
      <c r="O211" s="2"/>
      <c r="P211" s="2"/>
      <c r="Q211" s="2"/>
    </row>
    <row r="212" spans="2:17" x14ac:dyDescent="0.85">
      <c r="B212" s="27"/>
      <c r="C212" s="28"/>
      <c r="D212" s="25"/>
      <c r="E212" s="9"/>
      <c r="F212" s="27"/>
      <c r="G212" s="25"/>
      <c r="H212" s="27"/>
      <c r="I212" s="133"/>
      <c r="J212" s="2"/>
      <c r="K212" s="2"/>
      <c r="L212" s="2"/>
      <c r="M212" s="2"/>
      <c r="N212" s="2"/>
      <c r="O212" s="2"/>
      <c r="P212" s="2"/>
      <c r="Q212" s="2"/>
    </row>
    <row r="213" spans="2:17" x14ac:dyDescent="0.85">
      <c r="B213" s="27"/>
      <c r="C213" s="28"/>
      <c r="D213" s="25"/>
      <c r="E213" s="9"/>
      <c r="F213" s="27"/>
      <c r="G213" s="25"/>
      <c r="H213" s="27"/>
      <c r="I213" s="133"/>
      <c r="J213" s="2"/>
      <c r="K213" s="2"/>
      <c r="L213" s="2"/>
      <c r="M213" s="2"/>
      <c r="N213" s="2"/>
      <c r="O213" s="2"/>
      <c r="P213" s="2"/>
      <c r="Q213" s="2"/>
    </row>
    <row r="214" spans="2:17" x14ac:dyDescent="0.85">
      <c r="B214" s="27"/>
      <c r="C214" s="28"/>
      <c r="D214" s="25"/>
      <c r="E214" s="9"/>
      <c r="F214" s="27"/>
      <c r="G214" s="25"/>
      <c r="H214" s="27"/>
      <c r="I214" s="133"/>
      <c r="J214" s="2"/>
      <c r="K214" s="2"/>
      <c r="L214" s="2"/>
      <c r="M214" s="2"/>
      <c r="N214" s="2"/>
      <c r="O214" s="2"/>
      <c r="P214" s="2"/>
      <c r="Q214" s="2"/>
    </row>
    <row r="215" spans="2:17" x14ac:dyDescent="0.85">
      <c r="B215" s="27"/>
      <c r="C215" s="28"/>
      <c r="D215" s="25"/>
      <c r="E215" s="9"/>
      <c r="F215" s="27"/>
      <c r="G215" s="25"/>
      <c r="H215" s="27"/>
      <c r="I215" s="133"/>
      <c r="J215" s="2"/>
      <c r="K215" s="2"/>
      <c r="L215" s="2"/>
      <c r="M215" s="2"/>
      <c r="N215" s="2"/>
      <c r="O215" s="2"/>
      <c r="P215" s="2"/>
      <c r="Q215" s="2"/>
    </row>
    <row r="216" spans="2:17" x14ac:dyDescent="0.85">
      <c r="B216" s="27"/>
      <c r="C216" s="28"/>
      <c r="D216" s="25"/>
      <c r="E216" s="9"/>
      <c r="F216" s="27"/>
      <c r="G216" s="25"/>
      <c r="H216" s="27"/>
      <c r="I216" s="133"/>
      <c r="J216" s="2"/>
      <c r="K216" s="2"/>
      <c r="L216" s="2"/>
      <c r="M216" s="2"/>
      <c r="N216" s="2"/>
      <c r="O216" s="2"/>
      <c r="P216" s="2"/>
      <c r="Q216" s="2"/>
    </row>
    <row r="217" spans="2:17" x14ac:dyDescent="0.85">
      <c r="B217" s="27"/>
      <c r="C217" s="28"/>
      <c r="D217" s="25"/>
      <c r="E217" s="9"/>
      <c r="F217" s="27"/>
      <c r="G217" s="25"/>
      <c r="H217" s="27"/>
      <c r="I217" s="133"/>
      <c r="J217" s="2"/>
      <c r="K217" s="2"/>
      <c r="L217" s="2"/>
      <c r="M217" s="2"/>
      <c r="N217" s="2"/>
      <c r="O217" s="2"/>
      <c r="P217" s="2"/>
      <c r="Q217" s="2"/>
    </row>
    <row r="218" spans="2:17" x14ac:dyDescent="0.85">
      <c r="B218" s="27"/>
      <c r="C218" s="28"/>
      <c r="D218" s="25"/>
      <c r="E218" s="9"/>
      <c r="F218" s="27"/>
      <c r="G218" s="25"/>
      <c r="H218" s="27"/>
      <c r="I218" s="133"/>
      <c r="J218" s="2"/>
      <c r="K218" s="2"/>
      <c r="L218" s="2"/>
      <c r="M218" s="2"/>
      <c r="N218" s="2"/>
      <c r="O218" s="2"/>
      <c r="P218" s="2"/>
      <c r="Q218" s="2"/>
    </row>
    <row r="219" spans="2:17" x14ac:dyDescent="0.85">
      <c r="C219" s="2"/>
      <c r="D219" s="2"/>
      <c r="E219" s="2"/>
      <c r="F219" s="2"/>
      <c r="G219" s="2"/>
      <c r="H219" s="2"/>
      <c r="I219" s="133"/>
      <c r="J219" s="2"/>
      <c r="K219" s="2"/>
      <c r="L219" s="2"/>
      <c r="M219" s="2"/>
      <c r="N219" s="2"/>
      <c r="O219" s="2"/>
      <c r="P219" s="2"/>
      <c r="Q219" s="2"/>
    </row>
    <row r="220" spans="2:17" x14ac:dyDescent="0.85">
      <c r="C220" s="2"/>
      <c r="D220" s="2"/>
      <c r="E220" s="2"/>
      <c r="F220" s="2"/>
      <c r="G220" s="2"/>
      <c r="H220" s="2"/>
      <c r="I220" s="133"/>
      <c r="J220" s="2"/>
      <c r="K220" s="2"/>
      <c r="L220" s="2"/>
      <c r="M220" s="2"/>
      <c r="N220" s="2"/>
      <c r="O220" s="2"/>
      <c r="P220" s="2"/>
      <c r="Q220" s="2"/>
    </row>
    <row r="221" spans="2:17" x14ac:dyDescent="0.85">
      <c r="C221" s="2"/>
      <c r="D221" s="2"/>
      <c r="E221" s="2"/>
      <c r="F221" s="2"/>
      <c r="G221" s="2"/>
      <c r="H221" s="2"/>
      <c r="I221" s="133"/>
      <c r="J221" s="2"/>
      <c r="K221" s="2"/>
      <c r="L221" s="2"/>
      <c r="M221" s="2"/>
      <c r="N221" s="2"/>
      <c r="O221" s="2"/>
      <c r="P221" s="2"/>
      <c r="Q221" s="2"/>
    </row>
    <row r="222" spans="2:17" x14ac:dyDescent="0.85">
      <c r="C222" s="2"/>
      <c r="D222" s="2"/>
      <c r="E222" s="2"/>
      <c r="F222" s="2"/>
      <c r="G222" s="2"/>
      <c r="H222" s="2"/>
      <c r="I222" s="133"/>
      <c r="J222" s="2"/>
      <c r="K222" s="2"/>
      <c r="L222" s="2"/>
      <c r="M222" s="2"/>
      <c r="N222" s="2"/>
      <c r="O222" s="2"/>
      <c r="P222" s="2"/>
      <c r="Q222" s="2"/>
    </row>
    <row r="223" spans="2:17" x14ac:dyDescent="0.85">
      <c r="C223" s="2"/>
      <c r="D223" s="2"/>
      <c r="E223" s="2"/>
      <c r="F223" s="2"/>
      <c r="G223" s="2"/>
      <c r="H223" s="2"/>
      <c r="I223" s="133"/>
      <c r="J223" s="2"/>
      <c r="K223" s="2"/>
      <c r="L223" s="2"/>
      <c r="M223" s="2"/>
      <c r="N223" s="2"/>
      <c r="O223" s="2"/>
      <c r="P223" s="2"/>
      <c r="Q223" s="2"/>
    </row>
    <row r="224" spans="2:17" x14ac:dyDescent="0.85">
      <c r="C224" s="2"/>
      <c r="D224" s="2"/>
      <c r="E224" s="2"/>
      <c r="F224" s="2"/>
      <c r="G224" s="2"/>
      <c r="H224" s="2"/>
      <c r="I224" s="133"/>
      <c r="J224" s="2"/>
      <c r="K224" s="2"/>
      <c r="L224" s="2"/>
      <c r="M224" s="2"/>
      <c r="N224" s="2"/>
      <c r="O224" s="2"/>
      <c r="P224" s="2"/>
      <c r="Q224" s="2"/>
    </row>
    <row r="225" spans="2:17" x14ac:dyDescent="0.85">
      <c r="C225" s="2"/>
      <c r="D225" s="2"/>
      <c r="E225" s="2"/>
      <c r="F225" s="2"/>
      <c r="G225" s="2"/>
      <c r="H225" s="2"/>
      <c r="I225" s="133"/>
      <c r="J225" s="2"/>
      <c r="K225" s="2"/>
      <c r="L225" s="2"/>
      <c r="M225" s="2"/>
      <c r="N225" s="2"/>
      <c r="O225" s="2"/>
      <c r="P225" s="2"/>
      <c r="Q225" s="2"/>
    </row>
    <row r="226" spans="2:17" x14ac:dyDescent="0.85">
      <c r="B226" s="1"/>
      <c r="C226" s="2"/>
      <c r="D226" s="2"/>
      <c r="E226" s="2"/>
      <c r="F226" s="2"/>
      <c r="G226" s="2"/>
      <c r="H226" s="2"/>
      <c r="I226" s="133"/>
      <c r="J226" s="2"/>
      <c r="K226" s="2"/>
      <c r="L226" s="2"/>
      <c r="M226" s="2"/>
      <c r="N226" s="2"/>
      <c r="O226" s="2"/>
      <c r="P226" s="2"/>
      <c r="Q226" s="2"/>
    </row>
    <row r="227" spans="2:17" x14ac:dyDescent="0.85">
      <c r="B227" s="1"/>
      <c r="C227" s="2"/>
      <c r="D227" s="2"/>
      <c r="E227" s="2"/>
      <c r="F227" s="2"/>
      <c r="G227" s="2"/>
      <c r="H227" s="2"/>
      <c r="I227" s="133"/>
      <c r="J227" s="2"/>
      <c r="K227" s="2"/>
      <c r="L227" s="2"/>
      <c r="M227" s="2"/>
      <c r="N227" s="2"/>
      <c r="O227" s="2"/>
      <c r="P227" s="2"/>
      <c r="Q227" s="2"/>
    </row>
    <row r="228" spans="2:17" x14ac:dyDescent="0.85">
      <c r="B228" s="1"/>
      <c r="C228" s="2"/>
      <c r="D228" s="2"/>
      <c r="E228" s="2"/>
      <c r="F228" s="2"/>
      <c r="G228" s="2"/>
      <c r="H228" s="2"/>
      <c r="I228" s="133"/>
      <c r="J228" s="2"/>
      <c r="K228" s="2"/>
      <c r="L228" s="2"/>
      <c r="M228" s="2"/>
      <c r="N228" s="2"/>
      <c r="O228" s="2"/>
      <c r="P228" s="2"/>
      <c r="Q228" s="2"/>
    </row>
    <row r="229" spans="2:17" x14ac:dyDescent="0.85">
      <c r="B229" s="1"/>
      <c r="C229" s="2"/>
      <c r="D229" s="2"/>
      <c r="E229" s="2"/>
      <c r="F229" s="2"/>
      <c r="G229" s="2"/>
      <c r="H229" s="2"/>
      <c r="I229" s="133"/>
      <c r="J229" s="2"/>
      <c r="K229" s="2"/>
      <c r="L229" s="2"/>
      <c r="M229" s="2"/>
      <c r="N229" s="2"/>
      <c r="O229" s="2"/>
      <c r="P229" s="2"/>
      <c r="Q229" s="2"/>
    </row>
    <row r="230" spans="2:17" x14ac:dyDescent="0.85">
      <c r="B230" s="1"/>
      <c r="C230" s="2"/>
      <c r="D230" s="2"/>
      <c r="E230" s="2"/>
      <c r="F230" s="2"/>
      <c r="G230" s="2"/>
      <c r="H230" s="2"/>
      <c r="I230" s="133"/>
      <c r="J230" s="2"/>
      <c r="K230" s="2"/>
      <c r="L230" s="2"/>
      <c r="M230" s="2"/>
      <c r="N230" s="2"/>
      <c r="O230" s="2"/>
      <c r="P230" s="2"/>
      <c r="Q230" s="2"/>
    </row>
    <row r="231" spans="2:17" x14ac:dyDescent="0.85">
      <c r="B231" s="1"/>
      <c r="C231" s="2"/>
      <c r="D231" s="2"/>
      <c r="E231" s="2"/>
      <c r="F231" s="2"/>
      <c r="G231" s="2"/>
      <c r="H231" s="2"/>
      <c r="I231" s="133"/>
      <c r="J231" s="2"/>
      <c r="K231" s="2"/>
      <c r="L231" s="2"/>
      <c r="M231" s="2"/>
      <c r="N231" s="2"/>
      <c r="O231" s="2"/>
      <c r="P231" s="2"/>
      <c r="Q231" s="2"/>
    </row>
    <row r="232" spans="2:17" x14ac:dyDescent="0.85">
      <c r="B232" s="1"/>
      <c r="C232" s="2"/>
      <c r="D232" s="2"/>
      <c r="E232" s="2"/>
      <c r="F232" s="2"/>
      <c r="G232" s="2"/>
      <c r="H232" s="2"/>
      <c r="I232" s="133"/>
      <c r="J232" s="2"/>
      <c r="K232" s="2"/>
      <c r="L232" s="2"/>
      <c r="M232" s="2"/>
      <c r="N232" s="2"/>
      <c r="O232" s="2"/>
      <c r="P232" s="2"/>
      <c r="Q232" s="2"/>
    </row>
    <row r="233" spans="2:17" x14ac:dyDescent="0.85">
      <c r="B233" s="1"/>
      <c r="C233" s="2"/>
      <c r="D233" s="2"/>
      <c r="E233" s="2"/>
      <c r="F233" s="2"/>
      <c r="G233" s="2"/>
      <c r="H233" s="2"/>
      <c r="I233" s="133"/>
      <c r="J233" s="2"/>
      <c r="K233" s="2"/>
      <c r="L233" s="2"/>
      <c r="M233" s="2"/>
      <c r="N233" s="2"/>
      <c r="O233" s="2"/>
      <c r="P233" s="2"/>
      <c r="Q233" s="2"/>
    </row>
    <row r="234" spans="2:17" x14ac:dyDescent="0.85">
      <c r="B234" s="1"/>
      <c r="C234" s="2"/>
      <c r="D234" s="2"/>
      <c r="E234" s="2"/>
      <c r="F234" s="2"/>
      <c r="G234" s="2"/>
      <c r="H234" s="2"/>
      <c r="I234" s="133"/>
      <c r="J234" s="2"/>
      <c r="K234" s="2"/>
      <c r="L234" s="2"/>
      <c r="M234" s="2"/>
      <c r="N234" s="2"/>
      <c r="O234" s="2"/>
      <c r="P234" s="2"/>
      <c r="Q234" s="2"/>
    </row>
    <row r="235" spans="2:17" x14ac:dyDescent="0.85">
      <c r="B235" s="1"/>
      <c r="C235" s="2"/>
      <c r="D235" s="2"/>
      <c r="E235" s="2"/>
      <c r="F235" s="2"/>
      <c r="G235" s="2"/>
      <c r="H235" s="2"/>
      <c r="I235" s="133"/>
      <c r="J235" s="2"/>
      <c r="K235" s="2"/>
      <c r="L235" s="2"/>
      <c r="M235" s="2"/>
      <c r="N235" s="2"/>
      <c r="O235" s="2"/>
      <c r="P235" s="2"/>
      <c r="Q235" s="2"/>
    </row>
    <row r="236" spans="2:17" x14ac:dyDescent="0.85">
      <c r="B236" s="1"/>
      <c r="C236" s="2"/>
      <c r="D236" s="2"/>
      <c r="E236" s="2"/>
      <c r="F236" s="2"/>
      <c r="G236" s="2"/>
      <c r="H236" s="2"/>
      <c r="I236" s="133"/>
      <c r="J236" s="2"/>
      <c r="K236" s="2"/>
      <c r="L236" s="2"/>
      <c r="M236" s="2"/>
      <c r="N236" s="2"/>
      <c r="O236" s="2"/>
      <c r="P236" s="2"/>
      <c r="Q236" s="2"/>
    </row>
    <row r="237" spans="2:17" x14ac:dyDescent="0.85">
      <c r="B237" s="1"/>
      <c r="C237" s="2"/>
      <c r="D237" s="2"/>
      <c r="E237" s="2"/>
      <c r="F237" s="2"/>
      <c r="G237" s="2"/>
      <c r="H237" s="2"/>
      <c r="I237" s="133"/>
      <c r="J237" s="2"/>
      <c r="K237" s="2"/>
      <c r="L237" s="2"/>
      <c r="M237" s="2"/>
      <c r="N237" s="2"/>
      <c r="O237" s="2"/>
      <c r="P237" s="2"/>
      <c r="Q237" s="2"/>
    </row>
    <row r="238" spans="2:17" x14ac:dyDescent="0.85">
      <c r="B238" s="1"/>
      <c r="C238" s="2"/>
      <c r="D238" s="2"/>
      <c r="E238" s="2"/>
      <c r="F238" s="2"/>
      <c r="G238" s="2"/>
      <c r="H238" s="2"/>
      <c r="I238" s="133"/>
      <c r="J238" s="2"/>
      <c r="K238" s="2"/>
      <c r="L238" s="2"/>
      <c r="M238" s="2"/>
      <c r="N238" s="2"/>
      <c r="O238" s="2"/>
      <c r="P238" s="2"/>
      <c r="Q238" s="2"/>
    </row>
    <row r="239" spans="2:17" x14ac:dyDescent="0.85">
      <c r="B239" s="1"/>
      <c r="C239" s="2"/>
      <c r="D239" s="2"/>
      <c r="E239" s="2"/>
      <c r="F239" s="2"/>
      <c r="G239" s="2"/>
      <c r="H239" s="2"/>
      <c r="I239" s="133"/>
      <c r="J239" s="2"/>
      <c r="K239" s="2"/>
      <c r="L239" s="2"/>
      <c r="M239" s="2"/>
      <c r="N239" s="2"/>
      <c r="O239" s="2"/>
      <c r="P239" s="2"/>
      <c r="Q239" s="2"/>
    </row>
    <row r="240" spans="2:17" x14ac:dyDescent="0.85">
      <c r="B240" s="1"/>
      <c r="C240" s="2"/>
      <c r="D240" s="2"/>
      <c r="E240" s="2"/>
      <c r="F240" s="2"/>
      <c r="G240" s="2"/>
      <c r="H240" s="2"/>
      <c r="I240" s="133"/>
      <c r="J240" s="2"/>
      <c r="K240" s="2"/>
      <c r="L240" s="2"/>
      <c r="M240" s="2"/>
      <c r="N240" s="2"/>
      <c r="O240" s="2"/>
      <c r="P240" s="2"/>
      <c r="Q240" s="2"/>
    </row>
    <row r="241" spans="2:17" x14ac:dyDescent="0.85">
      <c r="B241" s="1"/>
      <c r="C241" s="2"/>
      <c r="D241" s="2"/>
      <c r="E241" s="2"/>
      <c r="F241" s="2"/>
      <c r="G241" s="2"/>
      <c r="H241" s="2"/>
      <c r="I241" s="133"/>
      <c r="J241" s="2"/>
      <c r="K241" s="2"/>
      <c r="L241" s="2"/>
      <c r="M241" s="2"/>
      <c r="N241" s="2"/>
      <c r="O241" s="2"/>
      <c r="P241" s="2"/>
      <c r="Q241" s="2"/>
    </row>
    <row r="242" spans="2:17" x14ac:dyDescent="0.85">
      <c r="B242" s="1"/>
      <c r="C242" s="2"/>
      <c r="D242" s="2"/>
      <c r="E242" s="2"/>
      <c r="F242" s="2"/>
      <c r="G242" s="2"/>
      <c r="H242" s="2"/>
      <c r="I242" s="133"/>
      <c r="J242" s="2"/>
      <c r="K242" s="2"/>
      <c r="L242" s="2"/>
      <c r="M242" s="2"/>
      <c r="N242" s="2"/>
      <c r="O242" s="2"/>
      <c r="P242" s="2"/>
      <c r="Q242" s="2"/>
    </row>
    <row r="243" spans="2:17" x14ac:dyDescent="0.85">
      <c r="B243" s="1"/>
      <c r="C243" s="2"/>
      <c r="D243" s="2"/>
      <c r="E243" s="2"/>
      <c r="F243" s="2"/>
      <c r="G243" s="2"/>
      <c r="H243" s="2"/>
      <c r="I243" s="133"/>
      <c r="J243" s="2"/>
      <c r="K243" s="2"/>
      <c r="L243" s="2"/>
      <c r="M243" s="2"/>
      <c r="N243" s="2"/>
      <c r="O243" s="2"/>
      <c r="P243" s="2"/>
      <c r="Q243" s="2"/>
    </row>
    <row r="244" spans="2:17" x14ac:dyDescent="0.85">
      <c r="B244" s="1"/>
      <c r="C244" s="2"/>
      <c r="D244" s="2"/>
      <c r="E244" s="2"/>
      <c r="F244" s="2"/>
      <c r="G244" s="2"/>
      <c r="H244" s="2"/>
      <c r="I244" s="133"/>
      <c r="J244" s="2"/>
      <c r="K244" s="2"/>
      <c r="L244" s="2"/>
      <c r="M244" s="2"/>
      <c r="N244" s="2"/>
      <c r="O244" s="2"/>
      <c r="P244" s="2"/>
      <c r="Q244" s="2"/>
    </row>
    <row r="245" spans="2:17" x14ac:dyDescent="0.85">
      <c r="B245" s="1"/>
      <c r="C245" s="2"/>
      <c r="D245" s="2"/>
      <c r="E245" s="2"/>
      <c r="F245" s="2"/>
      <c r="G245" s="2"/>
      <c r="H245" s="2"/>
      <c r="I245" s="133"/>
      <c r="J245" s="2"/>
      <c r="K245" s="2"/>
      <c r="L245" s="2"/>
      <c r="M245" s="2"/>
      <c r="N245" s="2"/>
      <c r="O245" s="2"/>
      <c r="P245" s="2"/>
      <c r="Q245" s="2"/>
    </row>
    <row r="246" spans="2:17" x14ac:dyDescent="0.85">
      <c r="B246" s="1"/>
      <c r="C246" s="2"/>
      <c r="D246" s="2"/>
      <c r="E246" s="2"/>
      <c r="F246" s="2"/>
      <c r="G246" s="2"/>
      <c r="H246" s="2"/>
      <c r="I246" s="133"/>
      <c r="J246" s="2"/>
      <c r="K246" s="2"/>
      <c r="L246" s="2"/>
      <c r="M246" s="2"/>
      <c r="N246" s="2"/>
      <c r="O246" s="2"/>
      <c r="P246" s="2"/>
      <c r="Q246" s="2"/>
    </row>
    <row r="247" spans="2:17" x14ac:dyDescent="0.85">
      <c r="B247" s="1"/>
      <c r="C247" s="2"/>
      <c r="D247" s="2"/>
      <c r="E247" s="2"/>
      <c r="F247" s="2"/>
      <c r="G247" s="2"/>
      <c r="H247" s="2"/>
      <c r="I247" s="133"/>
      <c r="J247" s="2"/>
      <c r="K247" s="2"/>
      <c r="L247" s="2"/>
      <c r="M247" s="2"/>
      <c r="N247" s="2"/>
      <c r="O247" s="2"/>
      <c r="P247" s="2"/>
      <c r="Q247" s="2"/>
    </row>
    <row r="248" spans="2:17" x14ac:dyDescent="0.85">
      <c r="B248" s="1"/>
      <c r="C248" s="2"/>
      <c r="D248" s="2"/>
      <c r="E248" s="2"/>
      <c r="F248" s="2"/>
      <c r="G248" s="2"/>
      <c r="H248" s="2"/>
      <c r="I248" s="133"/>
      <c r="J248" s="2"/>
      <c r="K248" s="2"/>
      <c r="L248" s="2"/>
      <c r="M248" s="2"/>
      <c r="N248" s="2"/>
      <c r="O248" s="2"/>
      <c r="P248" s="2"/>
      <c r="Q248" s="2"/>
    </row>
    <row r="249" spans="2:17" x14ac:dyDescent="0.85">
      <c r="B249" s="1"/>
      <c r="C249" s="2"/>
      <c r="D249" s="2"/>
      <c r="E249" s="2"/>
      <c r="F249" s="2"/>
      <c r="G249" s="2"/>
      <c r="H249" s="2"/>
      <c r="I249" s="133"/>
      <c r="J249" s="2"/>
      <c r="K249" s="2"/>
      <c r="L249" s="2"/>
      <c r="M249" s="2"/>
      <c r="N249" s="2"/>
      <c r="O249" s="2"/>
      <c r="P249" s="2"/>
      <c r="Q249" s="2"/>
    </row>
    <row r="250" spans="2:17" x14ac:dyDescent="0.85">
      <c r="B250" s="1"/>
      <c r="C250" s="2"/>
      <c r="D250" s="2"/>
      <c r="E250" s="2"/>
      <c r="F250" s="2"/>
      <c r="G250" s="2"/>
      <c r="H250" s="2"/>
      <c r="I250" s="133"/>
      <c r="J250" s="2"/>
      <c r="K250" s="2"/>
      <c r="L250" s="2"/>
      <c r="M250" s="2"/>
      <c r="N250" s="2"/>
      <c r="O250" s="2"/>
      <c r="P250" s="2"/>
      <c r="Q250" s="2"/>
    </row>
    <row r="251" spans="2:17" x14ac:dyDescent="0.85">
      <c r="B251" s="1"/>
      <c r="C251" s="2"/>
      <c r="D251" s="2"/>
      <c r="E251" s="2"/>
      <c r="F251" s="2"/>
      <c r="G251" s="2"/>
      <c r="H251" s="2"/>
      <c r="I251" s="133"/>
      <c r="J251" s="2"/>
      <c r="K251" s="2"/>
      <c r="L251" s="2"/>
      <c r="M251" s="2"/>
      <c r="N251" s="2"/>
      <c r="O251" s="2"/>
      <c r="P251" s="2"/>
      <c r="Q251" s="2"/>
    </row>
    <row r="252" spans="2:17" x14ac:dyDescent="0.85">
      <c r="B252" s="1"/>
      <c r="C252" s="2"/>
      <c r="D252" s="2"/>
      <c r="E252" s="2"/>
      <c r="F252" s="2"/>
      <c r="G252" s="2"/>
      <c r="H252" s="2"/>
      <c r="I252" s="133"/>
      <c r="J252" s="2"/>
      <c r="K252" s="2"/>
      <c r="L252" s="2"/>
      <c r="M252" s="2"/>
      <c r="N252" s="2"/>
      <c r="O252" s="2"/>
      <c r="P252" s="2"/>
      <c r="Q252" s="2"/>
    </row>
    <row r="253" spans="2:17" x14ac:dyDescent="0.85">
      <c r="B253" s="1"/>
      <c r="C253" s="2"/>
      <c r="D253" s="2"/>
      <c r="E253" s="2"/>
      <c r="F253" s="2"/>
      <c r="G253" s="2"/>
      <c r="H253" s="2"/>
      <c r="I253" s="133"/>
      <c r="J253" s="2"/>
      <c r="K253" s="2"/>
      <c r="L253" s="2"/>
      <c r="M253" s="2"/>
      <c r="N253" s="2"/>
      <c r="O253" s="2"/>
      <c r="P253" s="2"/>
      <c r="Q253" s="2"/>
    </row>
    <row r="254" spans="2:17" x14ac:dyDescent="0.85">
      <c r="B254" s="1"/>
      <c r="C254" s="2"/>
      <c r="D254" s="2"/>
      <c r="E254" s="2"/>
      <c r="F254" s="2"/>
      <c r="G254" s="2"/>
      <c r="H254" s="2"/>
      <c r="I254" s="133"/>
      <c r="J254" s="2"/>
      <c r="K254" s="2"/>
      <c r="L254" s="2"/>
      <c r="M254" s="2"/>
      <c r="N254" s="2"/>
      <c r="O254" s="2"/>
      <c r="P254" s="2"/>
      <c r="Q254" s="2"/>
    </row>
    <row r="255" spans="2:17" x14ac:dyDescent="0.85">
      <c r="B255" s="1"/>
      <c r="C255" s="2"/>
      <c r="D255" s="2"/>
      <c r="E255" s="2"/>
      <c r="F255" s="2"/>
      <c r="G255" s="2"/>
      <c r="H255" s="2"/>
      <c r="I255" s="133"/>
      <c r="J255" s="2"/>
      <c r="K255" s="2"/>
      <c r="L255" s="2"/>
      <c r="M255" s="2"/>
      <c r="N255" s="2"/>
      <c r="O255" s="2"/>
      <c r="P255" s="2"/>
      <c r="Q255" s="2"/>
    </row>
    <row r="256" spans="2:17" x14ac:dyDescent="0.85">
      <c r="B256" s="1"/>
      <c r="C256" s="2"/>
      <c r="D256" s="2"/>
      <c r="E256" s="2"/>
      <c r="F256" s="2"/>
      <c r="G256" s="2"/>
      <c r="H256" s="2"/>
      <c r="I256" s="133"/>
      <c r="J256" s="2"/>
      <c r="K256" s="2"/>
      <c r="L256" s="2"/>
      <c r="M256" s="2"/>
      <c r="N256" s="2"/>
      <c r="O256" s="2"/>
      <c r="P256" s="2"/>
      <c r="Q256" s="2"/>
    </row>
    <row r="257" spans="2:17" x14ac:dyDescent="0.85">
      <c r="B257" s="1"/>
      <c r="C257" s="2"/>
      <c r="D257" s="2"/>
      <c r="E257" s="2"/>
      <c r="F257" s="2"/>
      <c r="G257" s="2"/>
      <c r="H257" s="2"/>
      <c r="I257" s="133"/>
      <c r="J257" s="2"/>
      <c r="K257" s="2"/>
      <c r="L257" s="2"/>
      <c r="M257" s="2"/>
      <c r="N257" s="2"/>
      <c r="O257" s="2"/>
      <c r="P257" s="2"/>
      <c r="Q257" s="2"/>
    </row>
    <row r="258" spans="2:17" x14ac:dyDescent="0.85">
      <c r="B258" s="1"/>
      <c r="C258" s="2"/>
      <c r="D258" s="2"/>
      <c r="E258" s="2"/>
      <c r="F258" s="2"/>
      <c r="G258" s="2"/>
      <c r="H258" s="2"/>
      <c r="I258" s="133"/>
      <c r="J258" s="2"/>
      <c r="K258" s="2"/>
      <c r="L258" s="2"/>
      <c r="M258" s="2"/>
      <c r="N258" s="2"/>
      <c r="O258" s="2"/>
      <c r="P258" s="2"/>
      <c r="Q258" s="2"/>
    </row>
    <row r="259" spans="2:17" x14ac:dyDescent="0.85">
      <c r="B259" s="1"/>
      <c r="C259" s="2"/>
      <c r="D259" s="2"/>
      <c r="E259" s="2"/>
      <c r="F259" s="2"/>
      <c r="G259" s="2"/>
      <c r="H259" s="2"/>
      <c r="I259" s="133"/>
      <c r="J259" s="2"/>
      <c r="K259" s="2"/>
      <c r="L259" s="2"/>
      <c r="M259" s="2"/>
      <c r="N259" s="2"/>
      <c r="O259" s="2"/>
      <c r="P259" s="2"/>
      <c r="Q259" s="2"/>
    </row>
    <row r="260" spans="2:17" x14ac:dyDescent="0.85">
      <c r="B260" s="1"/>
      <c r="C260" s="2"/>
      <c r="D260" s="2"/>
      <c r="E260" s="2"/>
      <c r="F260" s="2"/>
      <c r="G260" s="2"/>
      <c r="H260" s="2"/>
      <c r="I260" s="133"/>
      <c r="J260" s="2"/>
      <c r="K260" s="2"/>
      <c r="L260" s="2"/>
      <c r="M260" s="2"/>
      <c r="N260" s="2"/>
      <c r="O260" s="2"/>
      <c r="P260" s="2"/>
      <c r="Q260" s="2"/>
    </row>
    <row r="261" spans="2:17" x14ac:dyDescent="0.85">
      <c r="B261" s="1"/>
      <c r="C261" s="2"/>
      <c r="D261" s="2"/>
      <c r="E261" s="2"/>
      <c r="F261" s="2"/>
      <c r="G261" s="2"/>
      <c r="H261" s="2"/>
      <c r="I261" s="133"/>
      <c r="J261" s="2"/>
      <c r="K261" s="2"/>
      <c r="L261" s="2"/>
      <c r="M261" s="2"/>
      <c r="N261" s="2"/>
      <c r="O261" s="2"/>
      <c r="P261" s="2"/>
      <c r="Q261" s="2"/>
    </row>
    <row r="262" spans="2:17" x14ac:dyDescent="0.85">
      <c r="B262" s="1"/>
      <c r="C262" s="2"/>
      <c r="D262" s="2"/>
      <c r="E262" s="2"/>
      <c r="F262" s="2"/>
      <c r="G262" s="2"/>
      <c r="H262" s="2"/>
      <c r="I262" s="133"/>
      <c r="J262" s="2"/>
      <c r="K262" s="2"/>
      <c r="L262" s="2"/>
      <c r="M262" s="2"/>
      <c r="N262" s="2"/>
      <c r="O262" s="2"/>
      <c r="P262" s="2"/>
      <c r="Q262" s="2"/>
    </row>
    <row r="263" spans="2:17" x14ac:dyDescent="0.85">
      <c r="B263" s="1"/>
      <c r="C263" s="2"/>
      <c r="D263" s="2"/>
      <c r="E263" s="2"/>
      <c r="F263" s="2"/>
      <c r="G263" s="2"/>
      <c r="H263" s="2"/>
      <c r="I263" s="133"/>
      <c r="J263" s="2"/>
      <c r="K263" s="2"/>
      <c r="L263" s="2"/>
      <c r="M263" s="2"/>
      <c r="N263" s="2"/>
      <c r="O263" s="2"/>
      <c r="P263" s="2"/>
      <c r="Q263" s="2"/>
    </row>
    <row r="264" spans="2:17" x14ac:dyDescent="0.85">
      <c r="B264" s="1"/>
      <c r="C264" s="2"/>
      <c r="D264" s="2"/>
      <c r="E264" s="2"/>
      <c r="F264" s="2"/>
      <c r="G264" s="2"/>
      <c r="H264" s="2"/>
      <c r="I264" s="133"/>
      <c r="J264" s="2"/>
      <c r="K264" s="2"/>
      <c r="L264" s="2"/>
      <c r="M264" s="2"/>
      <c r="N264" s="2"/>
      <c r="O264" s="2"/>
      <c r="P264" s="2"/>
      <c r="Q264" s="2"/>
    </row>
    <row r="265" spans="2:17" x14ac:dyDescent="0.85">
      <c r="B265" s="1"/>
      <c r="C265" s="2"/>
      <c r="D265" s="2"/>
      <c r="E265" s="2"/>
      <c r="F265" s="2"/>
      <c r="G265" s="2"/>
      <c r="H265" s="2"/>
      <c r="I265" s="133"/>
      <c r="J265" s="2"/>
      <c r="K265" s="2"/>
      <c r="L265" s="2"/>
      <c r="M265" s="2"/>
      <c r="N265" s="2"/>
      <c r="O265" s="2"/>
      <c r="P265" s="2"/>
      <c r="Q265" s="2"/>
    </row>
    <row r="266" spans="2:17" x14ac:dyDescent="0.85">
      <c r="B266" s="1"/>
      <c r="C266" s="2"/>
      <c r="D266" s="2"/>
      <c r="E266" s="2"/>
      <c r="F266" s="2"/>
      <c r="G266" s="2"/>
      <c r="H266" s="2"/>
      <c r="I266" s="133"/>
      <c r="J266" s="2"/>
      <c r="K266" s="2"/>
      <c r="L266" s="2"/>
      <c r="M266" s="2"/>
      <c r="N266" s="2"/>
      <c r="O266" s="2"/>
      <c r="P266" s="2"/>
      <c r="Q266" s="2"/>
    </row>
    <row r="267" spans="2:17" x14ac:dyDescent="0.85">
      <c r="B267" s="1"/>
      <c r="C267" s="2"/>
      <c r="D267" s="2"/>
      <c r="E267" s="2"/>
      <c r="F267" s="2"/>
      <c r="G267" s="2"/>
      <c r="H267" s="2"/>
      <c r="I267" s="133"/>
      <c r="J267" s="2"/>
      <c r="K267" s="2"/>
      <c r="L267" s="2"/>
      <c r="M267" s="2"/>
      <c r="N267" s="2"/>
      <c r="O267" s="2"/>
      <c r="P267" s="2"/>
      <c r="Q267" s="2"/>
    </row>
    <row r="268" spans="2:17" x14ac:dyDescent="0.85">
      <c r="B268" s="1"/>
      <c r="C268" s="2"/>
      <c r="D268" s="2"/>
      <c r="E268" s="2"/>
      <c r="F268" s="2"/>
      <c r="G268" s="2"/>
      <c r="H268" s="2"/>
      <c r="I268" s="133"/>
      <c r="J268" s="2"/>
      <c r="K268" s="2"/>
      <c r="L268" s="2"/>
      <c r="M268" s="2"/>
      <c r="N268" s="2"/>
      <c r="O268" s="2"/>
      <c r="P268" s="2"/>
      <c r="Q268" s="2"/>
    </row>
    <row r="269" spans="2:17" x14ac:dyDescent="0.85">
      <c r="B269" s="1"/>
      <c r="C269" s="2"/>
      <c r="D269" s="2"/>
      <c r="E269" s="2"/>
      <c r="F269" s="2"/>
      <c r="G269" s="2"/>
      <c r="H269" s="2"/>
      <c r="I269" s="133"/>
      <c r="J269" s="2"/>
      <c r="K269" s="2"/>
      <c r="L269" s="2"/>
      <c r="M269" s="2"/>
      <c r="N269" s="2"/>
      <c r="O269" s="2"/>
      <c r="P269" s="2"/>
      <c r="Q269" s="2"/>
    </row>
    <row r="270" spans="2:17" x14ac:dyDescent="0.85">
      <c r="B270" s="1"/>
      <c r="C270" s="2"/>
      <c r="D270" s="2"/>
      <c r="E270" s="2"/>
      <c r="F270" s="2"/>
      <c r="G270" s="2"/>
      <c r="H270" s="2"/>
      <c r="I270" s="133"/>
      <c r="J270" s="2"/>
      <c r="K270" s="2"/>
      <c r="L270" s="2"/>
      <c r="M270" s="2"/>
      <c r="N270" s="2"/>
      <c r="O270" s="2"/>
      <c r="P270" s="2"/>
      <c r="Q270" s="2"/>
    </row>
    <row r="271" spans="2:17" x14ac:dyDescent="0.85">
      <c r="B271" s="1"/>
      <c r="C271" s="2"/>
      <c r="D271" s="2"/>
      <c r="E271" s="2"/>
      <c r="F271" s="2"/>
      <c r="G271" s="2"/>
      <c r="H271" s="2"/>
      <c r="I271" s="133"/>
      <c r="J271" s="2"/>
      <c r="K271" s="2"/>
      <c r="L271" s="2"/>
      <c r="M271" s="2"/>
      <c r="N271" s="2"/>
      <c r="O271" s="2"/>
      <c r="P271" s="2"/>
      <c r="Q271" s="2"/>
    </row>
    <row r="272" spans="2:17" x14ac:dyDescent="0.85">
      <c r="B272" s="1"/>
      <c r="C272" s="2"/>
      <c r="D272" s="2"/>
      <c r="E272" s="2"/>
      <c r="F272" s="2"/>
      <c r="G272" s="2"/>
      <c r="H272" s="2"/>
      <c r="I272" s="133"/>
      <c r="J272" s="2"/>
      <c r="K272" s="2"/>
      <c r="L272" s="2"/>
      <c r="M272" s="2"/>
      <c r="N272" s="2"/>
      <c r="O272" s="2"/>
      <c r="P272" s="2"/>
      <c r="Q272" s="2"/>
    </row>
    <row r="273" spans="2:17" x14ac:dyDescent="0.85">
      <c r="B273" s="1"/>
      <c r="C273" s="2"/>
      <c r="D273" s="2"/>
      <c r="E273" s="2"/>
      <c r="F273" s="2"/>
      <c r="G273" s="2"/>
      <c r="H273" s="2"/>
      <c r="I273" s="133"/>
      <c r="J273" s="2"/>
      <c r="K273" s="2"/>
      <c r="L273" s="2"/>
      <c r="M273" s="2"/>
      <c r="N273" s="2"/>
      <c r="O273" s="2"/>
      <c r="P273" s="2"/>
      <c r="Q273" s="2"/>
    </row>
    <row r="274" spans="2:17" x14ac:dyDescent="0.85">
      <c r="B274" s="1"/>
      <c r="C274" s="2"/>
      <c r="D274" s="2"/>
      <c r="E274" s="2"/>
      <c r="F274" s="2"/>
      <c r="G274" s="2"/>
      <c r="H274" s="2"/>
      <c r="I274" s="133"/>
      <c r="J274" s="2"/>
      <c r="K274" s="2"/>
      <c r="L274" s="2"/>
      <c r="M274" s="2"/>
      <c r="N274" s="2"/>
      <c r="O274" s="2"/>
      <c r="P274" s="2"/>
      <c r="Q274" s="2"/>
    </row>
    <row r="275" spans="2:17" x14ac:dyDescent="0.85">
      <c r="B275" s="1"/>
      <c r="C275" s="2"/>
      <c r="D275" s="2"/>
      <c r="E275" s="2"/>
      <c r="F275" s="2"/>
      <c r="G275" s="2"/>
      <c r="H275" s="2"/>
      <c r="I275" s="133"/>
      <c r="J275" s="2"/>
      <c r="K275" s="2"/>
      <c r="L275" s="2"/>
      <c r="M275" s="2"/>
      <c r="N275" s="2"/>
      <c r="O275" s="2"/>
      <c r="P275" s="2"/>
      <c r="Q275" s="2"/>
    </row>
    <row r="276" spans="2:17" x14ac:dyDescent="0.85">
      <c r="B276" s="1"/>
      <c r="C276" s="2"/>
      <c r="D276" s="2"/>
      <c r="E276" s="2"/>
      <c r="F276" s="2"/>
      <c r="G276" s="2"/>
      <c r="H276" s="2"/>
      <c r="I276" s="133"/>
      <c r="J276" s="2"/>
      <c r="K276" s="2"/>
      <c r="L276" s="2"/>
      <c r="M276" s="2"/>
      <c r="N276" s="2"/>
      <c r="O276" s="2"/>
      <c r="P276" s="2"/>
      <c r="Q276" s="2"/>
    </row>
    <row r="277" spans="2:17" x14ac:dyDescent="0.85">
      <c r="B277" s="1"/>
      <c r="C277" s="2"/>
      <c r="D277" s="2"/>
      <c r="E277" s="2"/>
      <c r="F277" s="2"/>
      <c r="G277" s="2"/>
      <c r="H277" s="2"/>
      <c r="I277" s="133"/>
      <c r="J277" s="2"/>
      <c r="K277" s="2"/>
      <c r="L277" s="2"/>
      <c r="M277" s="2"/>
      <c r="N277" s="2"/>
      <c r="O277" s="2"/>
      <c r="P277" s="2"/>
      <c r="Q277" s="2"/>
    </row>
    <row r="278" spans="2:17" x14ac:dyDescent="0.85">
      <c r="B278" s="1"/>
      <c r="C278" s="2"/>
      <c r="D278" s="2"/>
      <c r="E278" s="2"/>
      <c r="F278" s="2"/>
      <c r="G278" s="2"/>
      <c r="H278" s="2"/>
      <c r="I278" s="133"/>
      <c r="J278" s="2"/>
      <c r="K278" s="2"/>
      <c r="L278" s="2"/>
      <c r="M278" s="2"/>
      <c r="N278" s="2"/>
      <c r="O278" s="2"/>
      <c r="P278" s="2"/>
      <c r="Q278" s="2"/>
    </row>
    <row r="279" spans="2:17" x14ac:dyDescent="0.85">
      <c r="B279" s="1"/>
      <c r="C279" s="2"/>
      <c r="D279" s="2"/>
      <c r="E279" s="2"/>
      <c r="F279" s="2"/>
      <c r="G279" s="2"/>
      <c r="H279" s="2"/>
      <c r="I279" s="133"/>
      <c r="J279" s="2"/>
      <c r="K279" s="2"/>
      <c r="L279" s="2"/>
      <c r="M279" s="2"/>
      <c r="N279" s="2"/>
      <c r="O279" s="2"/>
      <c r="P279" s="2"/>
      <c r="Q279" s="2"/>
    </row>
    <row r="280" spans="2:17" x14ac:dyDescent="0.85">
      <c r="B280" s="1"/>
      <c r="C280" s="2"/>
      <c r="D280" s="2"/>
      <c r="E280" s="2"/>
      <c r="F280" s="2"/>
      <c r="G280" s="2"/>
      <c r="H280" s="2"/>
      <c r="I280" s="133"/>
      <c r="J280" s="2"/>
      <c r="K280" s="2"/>
      <c r="L280" s="2"/>
      <c r="M280" s="2"/>
      <c r="N280" s="2"/>
      <c r="O280" s="2"/>
      <c r="P280" s="2"/>
      <c r="Q280" s="2"/>
    </row>
    <row r="281" spans="2:17" x14ac:dyDescent="0.85">
      <c r="B281" s="1"/>
      <c r="C281" s="2"/>
      <c r="D281" s="2"/>
      <c r="E281" s="2"/>
      <c r="F281" s="2"/>
      <c r="G281" s="2"/>
      <c r="H281" s="2"/>
      <c r="I281" s="133"/>
      <c r="J281" s="2"/>
      <c r="K281" s="2"/>
      <c r="L281" s="2"/>
      <c r="M281" s="2"/>
      <c r="N281" s="2"/>
      <c r="O281" s="2"/>
      <c r="P281" s="2"/>
      <c r="Q281" s="2"/>
    </row>
    <row r="282" spans="2:17" x14ac:dyDescent="0.85">
      <c r="B282" s="1"/>
      <c r="C282" s="2"/>
      <c r="D282" s="2"/>
      <c r="E282" s="2"/>
      <c r="F282" s="2"/>
      <c r="G282" s="2"/>
      <c r="H282" s="2"/>
      <c r="I282" s="133"/>
      <c r="J282" s="2"/>
      <c r="K282" s="2"/>
      <c r="L282" s="2"/>
      <c r="M282" s="2"/>
      <c r="N282" s="2"/>
      <c r="O282" s="2"/>
      <c r="P282" s="2"/>
      <c r="Q282" s="2"/>
    </row>
    <row r="283" spans="2:17" x14ac:dyDescent="0.85">
      <c r="B283" s="1"/>
      <c r="C283" s="2"/>
      <c r="D283" s="2"/>
      <c r="E283" s="2"/>
      <c r="F283" s="2"/>
      <c r="G283" s="2"/>
      <c r="H283" s="2"/>
      <c r="I283" s="133"/>
      <c r="J283" s="2"/>
      <c r="K283" s="2"/>
      <c r="L283" s="2"/>
      <c r="M283" s="2"/>
      <c r="N283" s="2"/>
      <c r="O283" s="2"/>
      <c r="P283" s="2"/>
      <c r="Q283" s="2"/>
    </row>
    <row r="284" spans="2:17" x14ac:dyDescent="0.85">
      <c r="B284" s="1"/>
      <c r="C284" s="2"/>
      <c r="D284" s="2"/>
      <c r="E284" s="2"/>
      <c r="F284" s="2"/>
      <c r="G284" s="2"/>
      <c r="H284" s="2"/>
      <c r="I284" s="133"/>
      <c r="J284" s="2"/>
      <c r="K284" s="2"/>
      <c r="L284" s="2"/>
      <c r="M284" s="2"/>
      <c r="N284" s="2"/>
      <c r="O284" s="2"/>
      <c r="P284" s="2"/>
      <c r="Q284" s="2"/>
    </row>
    <row r="285" spans="2:17" x14ac:dyDescent="0.85">
      <c r="B285" s="1"/>
      <c r="C285" s="2"/>
      <c r="D285" s="2"/>
      <c r="E285" s="2"/>
      <c r="F285" s="2"/>
      <c r="G285" s="2"/>
      <c r="H285" s="2"/>
      <c r="I285" s="133"/>
      <c r="J285" s="2"/>
      <c r="K285" s="2"/>
      <c r="L285" s="2"/>
      <c r="M285" s="2"/>
      <c r="N285" s="2"/>
      <c r="O285" s="2"/>
      <c r="P285" s="2"/>
      <c r="Q285" s="2"/>
    </row>
    <row r="286" spans="2:17" x14ac:dyDescent="0.85">
      <c r="B286" s="1"/>
      <c r="C286" s="2"/>
      <c r="D286" s="2"/>
      <c r="E286" s="2"/>
      <c r="F286" s="2"/>
      <c r="G286" s="2"/>
      <c r="H286" s="2"/>
      <c r="I286" s="133"/>
      <c r="J286" s="2"/>
      <c r="K286" s="2"/>
      <c r="L286" s="2"/>
      <c r="M286" s="2"/>
      <c r="N286" s="2"/>
      <c r="O286" s="2"/>
      <c r="P286" s="2"/>
      <c r="Q286" s="2"/>
    </row>
    <row r="287" spans="2:17" x14ac:dyDescent="0.85">
      <c r="B287" s="1"/>
      <c r="C287" s="2"/>
      <c r="D287" s="2"/>
      <c r="E287" s="2"/>
      <c r="F287" s="2"/>
      <c r="G287" s="2"/>
      <c r="H287" s="2"/>
      <c r="I287" s="133"/>
      <c r="J287" s="2"/>
      <c r="K287" s="2"/>
      <c r="L287" s="2"/>
      <c r="M287" s="2"/>
      <c r="N287" s="2"/>
      <c r="O287" s="2"/>
      <c r="P287" s="2"/>
      <c r="Q287" s="2"/>
    </row>
    <row r="288" spans="2:17" x14ac:dyDescent="0.85">
      <c r="B288" s="1"/>
      <c r="C288" s="2"/>
      <c r="D288" s="2"/>
      <c r="E288" s="2"/>
      <c r="F288" s="2"/>
      <c r="G288" s="2"/>
      <c r="H288" s="2"/>
      <c r="I288" s="133"/>
      <c r="J288" s="2"/>
      <c r="K288" s="2"/>
      <c r="L288" s="2"/>
      <c r="M288" s="2"/>
      <c r="N288" s="2"/>
      <c r="O288" s="2"/>
      <c r="P288" s="2"/>
      <c r="Q288" s="2"/>
    </row>
    <row r="289" spans="2:17" x14ac:dyDescent="0.85">
      <c r="B289" s="1"/>
      <c r="C289" s="2"/>
      <c r="D289" s="2"/>
      <c r="E289" s="2"/>
      <c r="F289" s="2"/>
      <c r="G289" s="2"/>
      <c r="H289" s="2"/>
      <c r="I289" s="133"/>
      <c r="J289" s="2"/>
      <c r="K289" s="2"/>
      <c r="L289" s="2"/>
      <c r="M289" s="2"/>
      <c r="N289" s="2"/>
      <c r="O289" s="2"/>
      <c r="P289" s="2"/>
      <c r="Q289" s="2"/>
    </row>
    <row r="290" spans="2:17" x14ac:dyDescent="0.85">
      <c r="B290" s="1"/>
      <c r="C290" s="2"/>
      <c r="D290" s="2"/>
      <c r="E290" s="2"/>
      <c r="F290" s="2"/>
      <c r="G290" s="2"/>
      <c r="H290" s="2"/>
      <c r="I290" s="133"/>
      <c r="J290" s="2"/>
      <c r="K290" s="2"/>
      <c r="L290" s="2"/>
      <c r="M290" s="2"/>
      <c r="N290" s="2"/>
      <c r="O290" s="2"/>
      <c r="P290" s="2"/>
      <c r="Q290" s="2"/>
    </row>
    <row r="291" spans="2:17" x14ac:dyDescent="0.85">
      <c r="B291" s="1"/>
      <c r="C291" s="2"/>
      <c r="D291" s="2"/>
      <c r="E291" s="2"/>
      <c r="F291" s="2"/>
      <c r="G291" s="2"/>
      <c r="H291" s="2"/>
      <c r="I291" s="133"/>
      <c r="J291" s="2"/>
      <c r="K291" s="2"/>
      <c r="L291" s="2"/>
      <c r="M291" s="2"/>
      <c r="N291" s="2"/>
      <c r="O291" s="2"/>
      <c r="P291" s="2"/>
      <c r="Q291" s="2"/>
    </row>
    <row r="292" spans="2:17" x14ac:dyDescent="0.85">
      <c r="B292" s="1"/>
      <c r="C292" s="2"/>
      <c r="D292" s="2"/>
      <c r="E292" s="2"/>
      <c r="F292" s="2"/>
      <c r="G292" s="2"/>
      <c r="H292" s="2"/>
      <c r="I292" s="133"/>
      <c r="J292" s="2"/>
      <c r="K292" s="2"/>
      <c r="L292" s="2"/>
      <c r="M292" s="2"/>
      <c r="N292" s="2"/>
      <c r="O292" s="2"/>
      <c r="P292" s="2"/>
      <c r="Q292" s="2"/>
    </row>
  </sheetData>
  <phoneticPr fontId="1" type="noConversion"/>
  <pageMargins left="0.75" right="0.75" top="1" bottom="1" header="0.5" footer="0.5"/>
  <pageSetup scale="61" orientation="landscape" r:id="rId1"/>
  <headerFooter alignWithMargins="0">
    <oddFooter>&amp;LPage &amp;P of &amp;N of Sheet &amp;A of File &amp;F
Printed on &amp;D at &amp;T
DAS</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4087F-77D2-44C9-9E76-EF0C976BC273}">
  <dimension ref="A1:C17"/>
  <sheetViews>
    <sheetView workbookViewId="0"/>
  </sheetViews>
  <sheetFormatPr defaultRowHeight="18.3" x14ac:dyDescent="0.85"/>
  <cols>
    <col min="1" max="1" width="26.20703125" style="97" bestFit="1" customWidth="1"/>
    <col min="2" max="2" width="11.58203125" style="95" bestFit="1" customWidth="1"/>
    <col min="3" max="16384" width="8.6640625" style="95"/>
  </cols>
  <sheetData>
    <row r="1" spans="1:3" x14ac:dyDescent="0.85">
      <c r="A1" s="97" t="s">
        <v>439</v>
      </c>
      <c r="B1" s="28">
        <v>1021523.9525691699</v>
      </c>
      <c r="C1" s="95" t="s">
        <v>59</v>
      </c>
    </row>
    <row r="2" spans="1:3" x14ac:dyDescent="0.85">
      <c r="A2" s="97" t="s">
        <v>442</v>
      </c>
      <c r="B2" s="28">
        <f>B1/2</f>
        <v>510761.97628458496</v>
      </c>
      <c r="C2" s="95" t="s">
        <v>59</v>
      </c>
    </row>
    <row r="3" spans="1:3" x14ac:dyDescent="0.85">
      <c r="A3" s="97" t="s">
        <v>440</v>
      </c>
      <c r="B3" s="31">
        <v>87.4</v>
      </c>
      <c r="C3" s="95" t="s">
        <v>190</v>
      </c>
    </row>
    <row r="4" spans="1:3" x14ac:dyDescent="0.85">
      <c r="A4" s="97" t="s">
        <v>441</v>
      </c>
      <c r="B4" s="96">
        <f>B3/2</f>
        <v>43.7</v>
      </c>
      <c r="C4" s="95" t="s">
        <v>190</v>
      </c>
    </row>
    <row r="5" spans="1:3" x14ac:dyDescent="0.85">
      <c r="A5" s="97" t="s">
        <v>454</v>
      </c>
      <c r="B5" s="95" t="s">
        <v>456</v>
      </c>
    </row>
    <row r="6" spans="1:3" x14ac:dyDescent="0.85">
      <c r="A6" s="97" t="s">
        <v>444</v>
      </c>
      <c r="B6" s="95">
        <v>642000</v>
      </c>
      <c r="C6" s="95" t="s">
        <v>59</v>
      </c>
    </row>
    <row r="7" spans="1:3" x14ac:dyDescent="0.85">
      <c r="A7" s="97" t="s">
        <v>445</v>
      </c>
      <c r="B7" s="95">
        <v>609000</v>
      </c>
      <c r="C7" s="95" t="s">
        <v>59</v>
      </c>
    </row>
    <row r="8" spans="1:3" x14ac:dyDescent="0.85">
      <c r="A8" s="97" t="s">
        <v>275</v>
      </c>
      <c r="B8" s="124">
        <f>B7/B6</f>
        <v>0.94859813084112155</v>
      </c>
      <c r="C8" s="95" t="s">
        <v>457</v>
      </c>
    </row>
    <row r="9" spans="1:3" x14ac:dyDescent="0.85">
      <c r="A9" s="97" t="s">
        <v>219</v>
      </c>
      <c r="B9" s="96">
        <f>B4</f>
        <v>43.7</v>
      </c>
      <c r="C9" s="95" t="s">
        <v>190</v>
      </c>
    </row>
    <row r="10" spans="1:3" x14ac:dyDescent="0.85">
      <c r="A10" s="97" t="s">
        <v>455</v>
      </c>
      <c r="B10" s="96">
        <f>9.5*((B9/53)^2)</f>
        <v>6.4585457458170179</v>
      </c>
      <c r="C10" s="95" t="s">
        <v>247</v>
      </c>
    </row>
    <row r="11" spans="1:3" x14ac:dyDescent="0.85">
      <c r="A11" s="97" t="s">
        <v>446</v>
      </c>
      <c r="B11" s="95">
        <v>170</v>
      </c>
      <c r="C11" s="95" t="s">
        <v>458</v>
      </c>
    </row>
    <row r="12" spans="1:3" x14ac:dyDescent="0.85">
      <c r="A12" s="97" t="s">
        <v>312</v>
      </c>
      <c r="B12" s="95">
        <f>(B11-B7/(500*B9))</f>
        <v>142.12814645308924</v>
      </c>
      <c r="C12" s="95" t="s">
        <v>36</v>
      </c>
    </row>
    <row r="13" spans="1:3" x14ac:dyDescent="0.85">
      <c r="A13" s="97" t="s">
        <v>447</v>
      </c>
      <c r="B13" s="95">
        <f>B11-B12</f>
        <v>27.871853546910756</v>
      </c>
      <c r="C13" s="95" t="s">
        <v>448</v>
      </c>
    </row>
    <row r="14" spans="1:3" x14ac:dyDescent="0.85">
      <c r="A14" s="97" t="s">
        <v>461</v>
      </c>
      <c r="B14" s="126" t="s">
        <v>462</v>
      </c>
    </row>
    <row r="15" spans="1:3" x14ac:dyDescent="0.85">
      <c r="A15" s="97" t="s">
        <v>459</v>
      </c>
      <c r="B15" s="96">
        <v>3.6</v>
      </c>
      <c r="C15" s="95" t="s">
        <v>460</v>
      </c>
    </row>
    <row r="16" spans="1:3" x14ac:dyDescent="0.85">
      <c r="A16" s="97" t="s">
        <v>451</v>
      </c>
      <c r="B16" s="95">
        <v>1</v>
      </c>
    </row>
    <row r="17" spans="1:3" x14ac:dyDescent="0.85">
      <c r="A17" s="97" t="s">
        <v>453</v>
      </c>
      <c r="B17" s="95">
        <v>120</v>
      </c>
      <c r="C17" s="95" t="s">
        <v>452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U46"/>
  <sheetViews>
    <sheetView workbookViewId="0"/>
  </sheetViews>
  <sheetFormatPr defaultColWidth="3.5" defaultRowHeight="25" customHeight="1" x14ac:dyDescent="0.85"/>
  <cols>
    <col min="1" max="16384" width="3.5" style="113"/>
  </cols>
  <sheetData>
    <row r="1" spans="2:47" ht="25" customHeight="1" thickBot="1" x14ac:dyDescent="0.9"/>
    <row r="2" spans="2:47" ht="25" customHeight="1" thickTop="1" thickBot="1" x14ac:dyDescent="0.9">
      <c r="B2" s="114"/>
      <c r="C2" s="115" t="s">
        <v>410</v>
      </c>
    </row>
    <row r="3" spans="2:47" ht="25" customHeight="1" thickTop="1" x14ac:dyDescent="0.85"/>
    <row r="4" spans="2:47" ht="25" customHeight="1" x14ac:dyDescent="0.85">
      <c r="I4" s="116" t="s">
        <v>361</v>
      </c>
      <c r="J4" s="113">
        <v>12</v>
      </c>
      <c r="K4" s="113" t="s">
        <v>362</v>
      </c>
    </row>
    <row r="5" spans="2:47" ht="25" customHeight="1" x14ac:dyDescent="0.85">
      <c r="I5" s="116" t="s">
        <v>363</v>
      </c>
      <c r="J5" s="113">
        <v>6</v>
      </c>
      <c r="K5" s="113" t="s">
        <v>315</v>
      </c>
    </row>
    <row r="8" spans="2:47" ht="25" customHeight="1" x14ac:dyDescent="0.85">
      <c r="H8" s="183" t="str">
        <f>COUNTBLANK(H7:AU7)*5&amp;" feet"</f>
        <v>200 feet</v>
      </c>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7"/>
    </row>
    <row r="9" spans="2:47" ht="25" customHeight="1" x14ac:dyDescent="0.85">
      <c r="H9" s="111"/>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2"/>
    </row>
    <row r="10" spans="2:47" ht="25" customHeight="1" thickBot="1" x14ac:dyDescent="0.9"/>
    <row r="11" spans="2:47" ht="25" customHeight="1" thickTop="1" x14ac:dyDescent="0.85">
      <c r="E11" s="188" t="str">
        <f>COUNTBLANK(D11:D20)*5&amp;" feet"</f>
        <v>50 feet</v>
      </c>
      <c r="F11" s="117"/>
      <c r="H11" s="205" t="s">
        <v>371</v>
      </c>
      <c r="I11" s="178"/>
      <c r="J11" s="178"/>
      <c r="K11" s="179"/>
      <c r="L11" s="177" t="s">
        <v>373</v>
      </c>
      <c r="M11" s="178"/>
      <c r="N11" s="179"/>
      <c r="O11" s="177" t="s">
        <v>398</v>
      </c>
      <c r="P11" s="178"/>
      <c r="Q11" s="179"/>
      <c r="R11" s="177" t="s">
        <v>374</v>
      </c>
      <c r="S11" s="178"/>
      <c r="T11" s="179"/>
      <c r="U11" s="197" t="s">
        <v>369</v>
      </c>
      <c r="V11" s="196"/>
      <c r="W11" s="196"/>
      <c r="X11" s="196"/>
      <c r="Y11" s="198"/>
      <c r="Z11" s="197" t="s">
        <v>399</v>
      </c>
      <c r="AA11" s="198"/>
      <c r="AB11" s="197" t="s">
        <v>378</v>
      </c>
      <c r="AC11" s="196"/>
      <c r="AD11" s="196"/>
      <c r="AE11" s="198"/>
      <c r="AF11" s="177" t="s">
        <v>403</v>
      </c>
      <c r="AG11" s="178"/>
      <c r="AH11" s="179"/>
      <c r="AI11" s="178" t="s">
        <v>390</v>
      </c>
      <c r="AJ11" s="178"/>
      <c r="AK11" s="178"/>
      <c r="AL11" s="178"/>
      <c r="AM11" s="178"/>
      <c r="AN11" s="178"/>
      <c r="AO11" s="179"/>
      <c r="AP11" s="177" t="s">
        <v>414</v>
      </c>
      <c r="AQ11" s="178"/>
      <c r="AR11" s="179"/>
      <c r="AS11" s="177" t="s">
        <v>391</v>
      </c>
      <c r="AT11" s="178"/>
      <c r="AU11" s="209"/>
    </row>
    <row r="12" spans="2:47" ht="25" customHeight="1" thickBot="1" x14ac:dyDescent="0.9">
      <c r="E12" s="189"/>
      <c r="F12" s="110"/>
      <c r="H12" s="203"/>
      <c r="I12" s="171"/>
      <c r="J12" s="171"/>
      <c r="K12" s="173"/>
      <c r="L12" s="170"/>
      <c r="M12" s="171"/>
      <c r="N12" s="173"/>
      <c r="O12" s="170"/>
      <c r="P12" s="171"/>
      <c r="Q12" s="173"/>
      <c r="R12" s="170"/>
      <c r="S12" s="171"/>
      <c r="T12" s="173"/>
      <c r="U12" s="183"/>
      <c r="V12" s="184"/>
      <c r="W12" s="184"/>
      <c r="X12" s="184"/>
      <c r="Y12" s="187"/>
      <c r="Z12" s="199"/>
      <c r="AA12" s="201"/>
      <c r="AB12" s="183"/>
      <c r="AC12" s="184"/>
      <c r="AD12" s="184"/>
      <c r="AE12" s="187"/>
      <c r="AF12" s="170"/>
      <c r="AG12" s="171"/>
      <c r="AH12" s="173"/>
      <c r="AI12" s="171"/>
      <c r="AJ12" s="171"/>
      <c r="AK12" s="171"/>
      <c r="AL12" s="171"/>
      <c r="AM12" s="171"/>
      <c r="AN12" s="171"/>
      <c r="AO12" s="173"/>
      <c r="AP12" s="170"/>
      <c r="AQ12" s="171"/>
      <c r="AR12" s="173"/>
      <c r="AS12" s="170"/>
      <c r="AT12" s="171"/>
      <c r="AU12" s="210"/>
    </row>
    <row r="13" spans="2:47" ht="25" customHeight="1" thickBot="1" x14ac:dyDescent="0.9">
      <c r="E13" s="189"/>
      <c r="F13" s="110"/>
      <c r="H13" s="206"/>
      <c r="I13" s="181"/>
      <c r="J13" s="181"/>
      <c r="K13" s="182"/>
      <c r="L13" s="180"/>
      <c r="M13" s="181"/>
      <c r="N13" s="182"/>
      <c r="O13" s="180"/>
      <c r="P13" s="181"/>
      <c r="Q13" s="182"/>
      <c r="R13" s="180"/>
      <c r="S13" s="181"/>
      <c r="T13" s="182"/>
      <c r="U13" s="183"/>
      <c r="V13" s="184"/>
      <c r="W13" s="184"/>
      <c r="X13" s="184"/>
      <c r="Y13" s="187"/>
      <c r="Z13" s="170" t="s">
        <v>438</v>
      </c>
      <c r="AA13" s="173"/>
      <c r="AB13" s="168" t="s">
        <v>364</v>
      </c>
      <c r="AC13" s="172"/>
      <c r="AD13" s="170"/>
      <c r="AE13" s="173"/>
      <c r="AF13" s="181"/>
      <c r="AG13" s="181"/>
      <c r="AH13" s="182"/>
      <c r="AI13" s="181"/>
      <c r="AJ13" s="181"/>
      <c r="AK13" s="181"/>
      <c r="AL13" s="181"/>
      <c r="AM13" s="181"/>
      <c r="AN13" s="181"/>
      <c r="AO13" s="182"/>
      <c r="AP13" s="180"/>
      <c r="AQ13" s="181"/>
      <c r="AR13" s="182"/>
      <c r="AS13" s="170"/>
      <c r="AT13" s="171"/>
      <c r="AU13" s="210"/>
    </row>
    <row r="14" spans="2:47" ht="25" customHeight="1" thickBot="1" x14ac:dyDescent="0.9">
      <c r="E14" s="189"/>
      <c r="F14" s="110"/>
      <c r="H14" s="202" t="s">
        <v>372</v>
      </c>
      <c r="I14" s="169"/>
      <c r="J14" s="172"/>
      <c r="K14" s="168" t="s">
        <v>406</v>
      </c>
      <c r="L14" s="169"/>
      <c r="M14" s="169"/>
      <c r="N14" s="169"/>
      <c r="O14" s="169"/>
      <c r="P14" s="169"/>
      <c r="Q14" s="169"/>
      <c r="R14" s="169"/>
      <c r="S14" s="168" t="s">
        <v>376</v>
      </c>
      <c r="T14" s="172"/>
      <c r="U14" s="183"/>
      <c r="V14" s="184"/>
      <c r="W14" s="184"/>
      <c r="X14" s="184"/>
      <c r="Y14" s="187"/>
      <c r="Z14" s="180"/>
      <c r="AA14" s="182"/>
      <c r="AB14" s="180"/>
      <c r="AC14" s="182"/>
      <c r="AD14" s="180"/>
      <c r="AE14" s="182"/>
      <c r="AF14" s="168"/>
      <c r="AG14" s="169"/>
      <c r="AH14" s="171" t="s">
        <v>379</v>
      </c>
      <c r="AI14" s="171"/>
      <c r="AJ14" s="171"/>
      <c r="AK14" s="171"/>
      <c r="AL14" s="171"/>
      <c r="AM14" s="171"/>
      <c r="AN14" s="171"/>
      <c r="AO14" s="171"/>
      <c r="AP14" s="171"/>
      <c r="AQ14" s="171"/>
      <c r="AR14" s="171"/>
      <c r="AS14" s="180"/>
      <c r="AT14" s="181"/>
      <c r="AU14" s="211"/>
    </row>
    <row r="15" spans="2:47" ht="25" customHeight="1" thickBot="1" x14ac:dyDescent="0.9">
      <c r="E15" s="189"/>
      <c r="F15" s="110"/>
      <c r="H15" s="206"/>
      <c r="I15" s="181"/>
      <c r="J15" s="182"/>
      <c r="K15" s="170"/>
      <c r="L15" s="171"/>
      <c r="M15" s="171"/>
      <c r="N15" s="171"/>
      <c r="O15" s="171"/>
      <c r="P15" s="171"/>
      <c r="Q15" s="171"/>
      <c r="R15" s="171"/>
      <c r="S15" s="170"/>
      <c r="T15" s="173"/>
      <c r="U15" s="183"/>
      <c r="V15" s="184"/>
      <c r="W15" s="184"/>
      <c r="X15" s="184"/>
      <c r="Y15" s="187"/>
      <c r="Z15" s="169" t="s">
        <v>368</v>
      </c>
      <c r="AA15" s="169"/>
      <c r="AB15" s="169"/>
      <c r="AC15" s="169"/>
      <c r="AD15" s="171"/>
      <c r="AE15" s="171"/>
      <c r="AF15" s="171"/>
      <c r="AG15" s="171"/>
      <c r="AH15" s="171"/>
      <c r="AI15" s="171"/>
      <c r="AJ15" s="171"/>
      <c r="AK15" s="171"/>
      <c r="AL15" s="171"/>
      <c r="AM15" s="171"/>
      <c r="AN15" s="171"/>
      <c r="AO15" s="171"/>
      <c r="AP15" s="171"/>
      <c r="AQ15" s="171"/>
      <c r="AR15" s="171"/>
      <c r="AS15" s="168" t="s">
        <v>392</v>
      </c>
      <c r="AT15" s="169"/>
      <c r="AU15" s="212"/>
    </row>
    <row r="16" spans="2:47" ht="25" customHeight="1" thickBot="1" x14ac:dyDescent="0.9">
      <c r="E16" s="189"/>
      <c r="F16" s="110"/>
      <c r="H16" s="202" t="s">
        <v>370</v>
      </c>
      <c r="I16" s="169"/>
      <c r="J16" s="172"/>
      <c r="K16" s="170"/>
      <c r="L16" s="171"/>
      <c r="M16" s="171"/>
      <c r="N16" s="171"/>
      <c r="O16" s="171"/>
      <c r="P16" s="171"/>
      <c r="Q16" s="171"/>
      <c r="R16" s="171"/>
      <c r="S16" s="174"/>
      <c r="T16" s="175"/>
      <c r="U16" s="199"/>
      <c r="V16" s="200"/>
      <c r="W16" s="200"/>
      <c r="X16" s="200"/>
      <c r="Y16" s="201"/>
      <c r="Z16" s="171"/>
      <c r="AA16" s="171"/>
      <c r="AB16" s="171"/>
      <c r="AC16" s="171"/>
      <c r="AD16" s="181"/>
      <c r="AE16" s="181"/>
      <c r="AF16" s="181"/>
      <c r="AG16" s="181"/>
      <c r="AH16" s="171"/>
      <c r="AI16" s="171"/>
      <c r="AJ16" s="171"/>
      <c r="AK16" s="171"/>
      <c r="AL16" s="171"/>
      <c r="AM16" s="171"/>
      <c r="AN16" s="171"/>
      <c r="AO16" s="171"/>
      <c r="AP16" s="171"/>
      <c r="AQ16" s="171"/>
      <c r="AR16" s="171"/>
      <c r="AS16" s="170"/>
      <c r="AT16" s="171"/>
      <c r="AU16" s="210"/>
    </row>
    <row r="17" spans="5:47" ht="25" customHeight="1" thickTop="1" thickBot="1" x14ac:dyDescent="0.9">
      <c r="E17" s="189"/>
      <c r="F17" s="110"/>
      <c r="H17" s="203"/>
      <c r="I17" s="171"/>
      <c r="J17" s="173"/>
      <c r="K17" s="170"/>
      <c r="L17" s="171"/>
      <c r="M17" s="171"/>
      <c r="N17" s="171"/>
      <c r="O17" s="171"/>
      <c r="P17" s="171"/>
      <c r="Q17" s="171"/>
      <c r="R17" s="171"/>
      <c r="S17" s="119"/>
      <c r="T17" s="119"/>
      <c r="U17" s="207"/>
      <c r="V17" s="207"/>
      <c r="W17" s="207"/>
      <c r="X17" s="207"/>
      <c r="Y17" s="207"/>
      <c r="Z17" s="171"/>
      <c r="AA17" s="171"/>
      <c r="AB17" s="171"/>
      <c r="AC17" s="171"/>
      <c r="AD17" s="214" t="s">
        <v>380</v>
      </c>
      <c r="AE17" s="214"/>
      <c r="AF17" s="214" t="s">
        <v>381</v>
      </c>
      <c r="AG17" s="214"/>
      <c r="AH17" s="171"/>
      <c r="AI17" s="171"/>
      <c r="AJ17" s="171"/>
      <c r="AK17" s="171"/>
      <c r="AL17" s="171"/>
      <c r="AM17" s="171"/>
      <c r="AN17" s="171"/>
      <c r="AO17" s="171"/>
      <c r="AP17" s="171"/>
      <c r="AQ17" s="171"/>
      <c r="AR17" s="171"/>
      <c r="AS17" s="170"/>
      <c r="AT17" s="171"/>
      <c r="AU17" s="210"/>
    </row>
    <row r="18" spans="5:47" ht="25" customHeight="1" thickTop="1" x14ac:dyDescent="0.85">
      <c r="E18" s="189"/>
      <c r="F18" s="110"/>
      <c r="H18" s="203"/>
      <c r="I18" s="171"/>
      <c r="J18" s="173"/>
      <c r="K18" s="168" t="s">
        <v>375</v>
      </c>
      <c r="L18" s="169"/>
      <c r="M18" s="172"/>
      <c r="N18" s="183"/>
      <c r="O18" s="184"/>
      <c r="P18" s="184"/>
      <c r="Q18" s="185"/>
      <c r="R18" s="186"/>
      <c r="S18" s="177" t="s">
        <v>412</v>
      </c>
      <c r="T18" s="178"/>
      <c r="U18" s="179"/>
      <c r="V18" s="169" t="s">
        <v>290</v>
      </c>
      <c r="W18" s="169"/>
      <c r="X18" s="169"/>
      <c r="Y18" s="172"/>
      <c r="Z18" s="171"/>
      <c r="AA18" s="171"/>
      <c r="AB18" s="171"/>
      <c r="AC18" s="171"/>
      <c r="AD18" s="215"/>
      <c r="AE18" s="215"/>
      <c r="AF18" s="215"/>
      <c r="AG18" s="215"/>
      <c r="AH18" s="168" t="s">
        <v>394</v>
      </c>
      <c r="AI18" s="169"/>
      <c r="AJ18" s="172"/>
      <c r="AK18" s="168" t="s">
        <v>393</v>
      </c>
      <c r="AL18" s="169"/>
      <c r="AM18" s="172"/>
      <c r="AN18" s="168" t="s">
        <v>395</v>
      </c>
      <c r="AO18" s="169"/>
      <c r="AP18" s="169"/>
      <c r="AQ18" s="169"/>
      <c r="AR18" s="172"/>
      <c r="AS18" s="170"/>
      <c r="AT18" s="171"/>
      <c r="AU18" s="210"/>
    </row>
    <row r="19" spans="5:47" ht="25" customHeight="1" thickBot="1" x14ac:dyDescent="0.9">
      <c r="E19" s="189"/>
      <c r="F19" s="110"/>
      <c r="H19" s="203"/>
      <c r="I19" s="171"/>
      <c r="J19" s="173"/>
      <c r="K19" s="170"/>
      <c r="L19" s="171"/>
      <c r="M19" s="173"/>
      <c r="N19" s="170" t="s">
        <v>377</v>
      </c>
      <c r="O19" s="171"/>
      <c r="P19" s="171"/>
      <c r="Q19" s="171"/>
      <c r="R19" s="173"/>
      <c r="S19" s="170"/>
      <c r="T19" s="171"/>
      <c r="U19" s="173"/>
      <c r="V19" s="171"/>
      <c r="W19" s="171"/>
      <c r="X19" s="171"/>
      <c r="Y19" s="173"/>
      <c r="Z19" s="171"/>
      <c r="AA19" s="171"/>
      <c r="AB19" s="171"/>
      <c r="AC19" s="171"/>
      <c r="AD19" s="215"/>
      <c r="AE19" s="215"/>
      <c r="AF19" s="215"/>
      <c r="AG19" s="215"/>
      <c r="AH19" s="170"/>
      <c r="AI19" s="171"/>
      <c r="AJ19" s="173"/>
      <c r="AK19" s="170"/>
      <c r="AL19" s="171"/>
      <c r="AM19" s="173"/>
      <c r="AN19" s="170"/>
      <c r="AO19" s="171"/>
      <c r="AP19" s="171"/>
      <c r="AQ19" s="171"/>
      <c r="AR19" s="173"/>
      <c r="AS19" s="170"/>
      <c r="AT19" s="171"/>
      <c r="AU19" s="210"/>
    </row>
    <row r="20" spans="5:47" ht="25" customHeight="1" thickTop="1" thickBot="1" x14ac:dyDescent="0.9">
      <c r="E20" s="190"/>
      <c r="F20" s="118"/>
      <c r="H20" s="204"/>
      <c r="I20" s="176"/>
      <c r="J20" s="175"/>
      <c r="K20" s="174"/>
      <c r="L20" s="176"/>
      <c r="M20" s="175"/>
      <c r="N20" s="174"/>
      <c r="O20" s="176"/>
      <c r="P20" s="176"/>
      <c r="Q20" s="176"/>
      <c r="R20" s="175"/>
      <c r="S20" s="180"/>
      <c r="T20" s="181"/>
      <c r="U20" s="182"/>
      <c r="V20" s="176"/>
      <c r="W20" s="176"/>
      <c r="X20" s="176"/>
      <c r="Y20" s="120"/>
      <c r="Z20" s="196"/>
      <c r="AA20" s="196"/>
      <c r="AB20" s="204"/>
      <c r="AC20" s="175"/>
      <c r="AD20" s="216"/>
      <c r="AE20" s="216"/>
      <c r="AF20" s="216"/>
      <c r="AG20" s="216"/>
      <c r="AH20" s="174"/>
      <c r="AI20" s="176"/>
      <c r="AJ20" s="175"/>
      <c r="AK20" s="174"/>
      <c r="AL20" s="176"/>
      <c r="AM20" s="175"/>
      <c r="AN20" s="174"/>
      <c r="AO20" s="176"/>
      <c r="AP20" s="176"/>
      <c r="AQ20" s="176"/>
      <c r="AR20" s="175"/>
      <c r="AS20" s="174"/>
      <c r="AT20" s="176"/>
      <c r="AU20" s="213"/>
    </row>
    <row r="21" spans="5:47" ht="25" customHeight="1" x14ac:dyDescent="0.85">
      <c r="Y21" s="191" t="s">
        <v>367</v>
      </c>
      <c r="Z21" s="171"/>
      <c r="AA21" s="171"/>
      <c r="AB21" s="171"/>
      <c r="AC21" s="171"/>
      <c r="AD21" s="192"/>
    </row>
    <row r="22" spans="5:47" ht="25" customHeight="1" thickBot="1" x14ac:dyDescent="0.9">
      <c r="H22" s="113" t="s">
        <v>404</v>
      </c>
      <c r="Y22" s="193"/>
      <c r="Z22" s="194"/>
      <c r="AA22" s="194"/>
      <c r="AB22" s="194"/>
      <c r="AC22" s="194"/>
      <c r="AD22" s="195"/>
    </row>
    <row r="24" spans="5:47" ht="25" customHeight="1" x14ac:dyDescent="0.85">
      <c r="H24" s="121" t="s">
        <v>413</v>
      </c>
    </row>
    <row r="28" spans="5:47" ht="25" customHeight="1" x14ac:dyDescent="0.85">
      <c r="H28" s="183" t="str">
        <f>COUNTBLANK(H27:AU27)*5&amp;" feet"</f>
        <v>200 feet</v>
      </c>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7"/>
    </row>
    <row r="29" spans="5:47" ht="25" customHeight="1" x14ac:dyDescent="0.85">
      <c r="H29" s="111"/>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2"/>
    </row>
    <row r="30" spans="5:47" ht="25" customHeight="1" thickBot="1" x14ac:dyDescent="0.9"/>
    <row r="31" spans="5:47" ht="25" customHeight="1" thickTop="1" thickBot="1" x14ac:dyDescent="0.9">
      <c r="E31" s="188" t="str">
        <f>COUNTBLANK(D31:D40)*5&amp;" feet"</f>
        <v>50 feet</v>
      </c>
      <c r="F31" s="117"/>
      <c r="H31" s="205" t="s">
        <v>382</v>
      </c>
      <c r="I31" s="178"/>
      <c r="J31" s="178"/>
      <c r="K31" s="179"/>
      <c r="L31" s="177" t="s">
        <v>385</v>
      </c>
      <c r="M31" s="178"/>
      <c r="N31" s="178"/>
      <c r="O31" s="179"/>
      <c r="P31" s="177" t="s">
        <v>388</v>
      </c>
      <c r="Q31" s="178"/>
      <c r="R31" s="179"/>
      <c r="S31" s="177" t="s">
        <v>389</v>
      </c>
      <c r="T31" s="178"/>
      <c r="U31" s="179"/>
      <c r="V31" s="177" t="s">
        <v>387</v>
      </c>
      <c r="W31" s="179"/>
      <c r="X31" s="177" t="s">
        <v>386</v>
      </c>
      <c r="Y31" s="179"/>
      <c r="Z31" s="197"/>
      <c r="AA31" s="229"/>
      <c r="AB31" s="226" t="s">
        <v>365</v>
      </c>
      <c r="AC31" s="196"/>
      <c r="AD31" s="196"/>
      <c r="AE31" s="198"/>
      <c r="AF31" s="177" t="s">
        <v>408</v>
      </c>
      <c r="AG31" s="178"/>
      <c r="AH31" s="179"/>
      <c r="AI31" s="178" t="s">
        <v>409</v>
      </c>
      <c r="AJ31" s="178"/>
      <c r="AK31" s="178"/>
      <c r="AL31" s="178"/>
      <c r="AM31" s="178"/>
      <c r="AN31" s="178"/>
      <c r="AO31" s="178"/>
      <c r="AP31" s="178"/>
      <c r="AQ31" s="178"/>
      <c r="AR31" s="179"/>
      <c r="AS31" s="217" t="s">
        <v>396</v>
      </c>
      <c r="AT31" s="218"/>
      <c r="AU31" s="219"/>
    </row>
    <row r="32" spans="5:47" ht="25" customHeight="1" thickBot="1" x14ac:dyDescent="0.9">
      <c r="E32" s="189"/>
      <c r="F32" s="110"/>
      <c r="H32" s="203"/>
      <c r="I32" s="171"/>
      <c r="J32" s="171"/>
      <c r="K32" s="173"/>
      <c r="L32" s="170"/>
      <c r="M32" s="171"/>
      <c r="N32" s="171"/>
      <c r="O32" s="173"/>
      <c r="P32" s="170"/>
      <c r="Q32" s="171"/>
      <c r="R32" s="173"/>
      <c r="S32" s="170"/>
      <c r="T32" s="171"/>
      <c r="U32" s="173"/>
      <c r="V32" s="170"/>
      <c r="W32" s="173"/>
      <c r="X32" s="180"/>
      <c r="Y32" s="182"/>
      <c r="Z32" s="183"/>
      <c r="AA32" s="230"/>
      <c r="AB32" s="227"/>
      <c r="AC32" s="184"/>
      <c r="AD32" s="184"/>
      <c r="AE32" s="187"/>
      <c r="AF32" s="170"/>
      <c r="AG32" s="171"/>
      <c r="AH32" s="173"/>
      <c r="AI32" s="171"/>
      <c r="AJ32" s="171"/>
      <c r="AK32" s="171"/>
      <c r="AL32" s="171"/>
      <c r="AM32" s="171"/>
      <c r="AN32" s="171"/>
      <c r="AO32" s="171"/>
      <c r="AP32" s="171"/>
      <c r="AQ32" s="171"/>
      <c r="AR32" s="173"/>
      <c r="AS32" s="220"/>
      <c r="AT32" s="221"/>
      <c r="AU32" s="222"/>
    </row>
    <row r="33" spans="5:47" ht="25" customHeight="1" thickBot="1" x14ac:dyDescent="0.9">
      <c r="E33" s="189"/>
      <c r="F33" s="110"/>
      <c r="H33" s="203"/>
      <c r="I33" s="171"/>
      <c r="J33" s="171"/>
      <c r="K33" s="173"/>
      <c r="L33" s="170"/>
      <c r="M33" s="171"/>
      <c r="N33" s="171"/>
      <c r="O33" s="173"/>
      <c r="P33" s="170"/>
      <c r="Q33" s="171"/>
      <c r="R33" s="173"/>
      <c r="S33" s="180"/>
      <c r="T33" s="181"/>
      <c r="U33" s="182"/>
      <c r="V33" s="180"/>
      <c r="W33" s="182"/>
      <c r="X33" s="184"/>
      <c r="Y33" s="184"/>
      <c r="Z33" s="184"/>
      <c r="AA33" s="184"/>
      <c r="AB33" s="168" t="s">
        <v>364</v>
      </c>
      <c r="AC33" s="172"/>
      <c r="AD33" s="170"/>
      <c r="AE33" s="173"/>
      <c r="AF33" s="170"/>
      <c r="AG33" s="171"/>
      <c r="AH33" s="173"/>
      <c r="AI33" s="171"/>
      <c r="AJ33" s="171"/>
      <c r="AK33" s="171"/>
      <c r="AL33" s="171"/>
      <c r="AM33" s="171"/>
      <c r="AN33" s="171"/>
      <c r="AO33" s="171"/>
      <c r="AP33" s="171"/>
      <c r="AQ33" s="171"/>
      <c r="AR33" s="173"/>
      <c r="AS33" s="220"/>
      <c r="AT33" s="221"/>
      <c r="AU33" s="222"/>
    </row>
    <row r="34" spans="5:47" ht="25" customHeight="1" thickBot="1" x14ac:dyDescent="0.9">
      <c r="E34" s="189"/>
      <c r="F34" s="110"/>
      <c r="H34" s="203"/>
      <c r="I34" s="171"/>
      <c r="J34" s="171"/>
      <c r="K34" s="173"/>
      <c r="L34" s="180"/>
      <c r="M34" s="181"/>
      <c r="N34" s="181"/>
      <c r="O34" s="182"/>
      <c r="P34" s="180"/>
      <c r="Q34" s="181"/>
      <c r="R34" s="182"/>
      <c r="S34" s="228"/>
      <c r="T34" s="185"/>
      <c r="U34" s="185"/>
      <c r="V34" s="185"/>
      <c r="W34" s="185"/>
      <c r="X34" s="184"/>
      <c r="Y34" s="184"/>
      <c r="Z34" s="184"/>
      <c r="AA34" s="184"/>
      <c r="AB34" s="180"/>
      <c r="AC34" s="182"/>
      <c r="AD34" s="180"/>
      <c r="AE34" s="182"/>
      <c r="AF34" s="180"/>
      <c r="AG34" s="181"/>
      <c r="AH34" s="182"/>
      <c r="AI34" s="171"/>
      <c r="AJ34" s="171"/>
      <c r="AK34" s="171"/>
      <c r="AL34" s="171"/>
      <c r="AM34" s="171"/>
      <c r="AN34" s="171"/>
      <c r="AO34" s="171"/>
      <c r="AP34" s="171"/>
      <c r="AQ34" s="171"/>
      <c r="AR34" s="173"/>
      <c r="AS34" s="220"/>
      <c r="AT34" s="221"/>
      <c r="AU34" s="222"/>
    </row>
    <row r="35" spans="5:47" ht="25" customHeight="1" thickBot="1" x14ac:dyDescent="0.9">
      <c r="E35" s="189"/>
      <c r="F35" s="110"/>
      <c r="H35" s="206"/>
      <c r="I35" s="181"/>
      <c r="J35" s="181"/>
      <c r="K35" s="182"/>
      <c r="L35" s="208"/>
      <c r="M35" s="207"/>
      <c r="N35" s="207"/>
      <c r="O35" s="207"/>
      <c r="P35" s="207"/>
      <c r="Q35" s="171" t="s">
        <v>407</v>
      </c>
      <c r="R35" s="171"/>
      <c r="S35" s="171"/>
      <c r="T35" s="171"/>
      <c r="U35" s="171"/>
      <c r="V35" s="171"/>
      <c r="W35" s="171"/>
      <c r="X35" s="184"/>
      <c r="Y35" s="184"/>
      <c r="Z35" s="184"/>
      <c r="AA35" s="184"/>
      <c r="AB35" s="185"/>
      <c r="AC35" s="185"/>
      <c r="AD35" s="185"/>
      <c r="AE35" s="185"/>
      <c r="AF35" s="171"/>
      <c r="AG35" s="171"/>
      <c r="AH35" s="171"/>
      <c r="AI35" s="171"/>
      <c r="AJ35" s="171"/>
      <c r="AK35" s="171"/>
      <c r="AL35" s="171"/>
      <c r="AM35" s="171"/>
      <c r="AN35" s="171"/>
      <c r="AO35" s="171"/>
      <c r="AP35" s="171"/>
      <c r="AQ35" s="171"/>
      <c r="AR35" s="173"/>
      <c r="AS35" s="220" t="s">
        <v>397</v>
      </c>
      <c r="AT35" s="221"/>
      <c r="AU35" s="222"/>
    </row>
    <row r="36" spans="5:47" ht="25" customHeight="1" thickBot="1" x14ac:dyDescent="0.9">
      <c r="E36" s="189"/>
      <c r="F36" s="110"/>
      <c r="H36" s="202" t="s">
        <v>383</v>
      </c>
      <c r="I36" s="169"/>
      <c r="J36" s="169"/>
      <c r="K36" s="169"/>
      <c r="L36" s="172"/>
      <c r="M36" s="168" t="s">
        <v>384</v>
      </c>
      <c r="N36" s="169"/>
      <c r="O36" s="169"/>
      <c r="P36" s="172"/>
      <c r="Q36" s="171"/>
      <c r="R36" s="171"/>
      <c r="S36" s="171"/>
      <c r="T36" s="171"/>
      <c r="U36" s="171"/>
      <c r="V36" s="171"/>
      <c r="W36" s="171"/>
      <c r="X36" s="123"/>
      <c r="Y36" s="181"/>
      <c r="Z36" s="181"/>
      <c r="AA36" s="181"/>
      <c r="AB36" s="181"/>
      <c r="AC36" s="123"/>
      <c r="AD36" s="181"/>
      <c r="AE36" s="181"/>
      <c r="AF36" s="181"/>
      <c r="AG36" s="181"/>
      <c r="AH36" s="181"/>
      <c r="AI36" s="181"/>
      <c r="AJ36" s="181"/>
      <c r="AK36" s="181"/>
      <c r="AL36" s="181"/>
      <c r="AM36" s="181"/>
      <c r="AN36" s="181"/>
      <c r="AO36" s="181"/>
      <c r="AP36" s="181"/>
      <c r="AQ36" s="181"/>
      <c r="AR36" s="182"/>
      <c r="AS36" s="220"/>
      <c r="AT36" s="221"/>
      <c r="AU36" s="222"/>
    </row>
    <row r="37" spans="5:47" ht="25" customHeight="1" thickBot="1" x14ac:dyDescent="0.9">
      <c r="E37" s="189"/>
      <c r="F37" s="110"/>
      <c r="H37" s="203"/>
      <c r="I37" s="171"/>
      <c r="J37" s="171"/>
      <c r="K37" s="171"/>
      <c r="L37" s="173"/>
      <c r="M37" s="170"/>
      <c r="N37" s="171"/>
      <c r="O37" s="171"/>
      <c r="P37" s="173"/>
      <c r="Q37" s="171"/>
      <c r="R37" s="171"/>
      <c r="S37" s="171"/>
      <c r="T37" s="171"/>
      <c r="U37" s="171"/>
      <c r="V37" s="171"/>
      <c r="W37" s="171"/>
      <c r="X37" s="168" t="s">
        <v>366</v>
      </c>
      <c r="Y37" s="169"/>
      <c r="Z37" s="169"/>
      <c r="AA37" s="169"/>
      <c r="AB37" s="169"/>
      <c r="AC37" s="172"/>
      <c r="AD37" s="168" t="s">
        <v>380</v>
      </c>
      <c r="AE37" s="169"/>
      <c r="AF37" s="172"/>
      <c r="AG37" s="168" t="s">
        <v>381</v>
      </c>
      <c r="AH37" s="169"/>
      <c r="AI37" s="172"/>
      <c r="AJ37" s="168" t="s">
        <v>400</v>
      </c>
      <c r="AK37" s="169"/>
      <c r="AL37" s="172"/>
      <c r="AM37" s="168" t="s">
        <v>402</v>
      </c>
      <c r="AN37" s="169"/>
      <c r="AO37" s="172"/>
      <c r="AP37" s="168" t="s">
        <v>401</v>
      </c>
      <c r="AQ37" s="169"/>
      <c r="AR37" s="169"/>
      <c r="AS37" s="220"/>
      <c r="AT37" s="221"/>
      <c r="AU37" s="222"/>
    </row>
    <row r="38" spans="5:47" ht="25" customHeight="1" thickBot="1" x14ac:dyDescent="0.9">
      <c r="E38" s="189"/>
      <c r="F38" s="110"/>
      <c r="H38" s="203"/>
      <c r="I38" s="171"/>
      <c r="J38" s="171"/>
      <c r="K38" s="171"/>
      <c r="L38" s="173"/>
      <c r="M38" s="170"/>
      <c r="N38" s="171"/>
      <c r="O38" s="171"/>
      <c r="P38" s="173"/>
      <c r="Q38" s="184"/>
      <c r="R38" s="184"/>
      <c r="S38" s="184"/>
      <c r="T38" s="200"/>
      <c r="U38" s="200"/>
      <c r="V38" s="200"/>
      <c r="W38" s="201"/>
      <c r="X38" s="170"/>
      <c r="Y38" s="171"/>
      <c r="Z38" s="171"/>
      <c r="AA38" s="171"/>
      <c r="AB38" s="171"/>
      <c r="AC38" s="173"/>
      <c r="AD38" s="170"/>
      <c r="AE38" s="171"/>
      <c r="AF38" s="173"/>
      <c r="AG38" s="170"/>
      <c r="AH38" s="171"/>
      <c r="AI38" s="173"/>
      <c r="AJ38" s="170"/>
      <c r="AK38" s="171"/>
      <c r="AL38" s="173"/>
      <c r="AM38" s="170"/>
      <c r="AN38" s="171"/>
      <c r="AO38" s="173"/>
      <c r="AP38" s="170"/>
      <c r="AQ38" s="171"/>
      <c r="AR38" s="171"/>
      <c r="AS38" s="220"/>
      <c r="AT38" s="221"/>
      <c r="AU38" s="222"/>
    </row>
    <row r="39" spans="5:47" ht="25" customHeight="1" thickBot="1" x14ac:dyDescent="0.9">
      <c r="E39" s="189"/>
      <c r="F39" s="110"/>
      <c r="H39" s="203"/>
      <c r="I39" s="171"/>
      <c r="J39" s="171"/>
      <c r="K39" s="171"/>
      <c r="L39" s="173"/>
      <c r="M39" s="170"/>
      <c r="N39" s="171"/>
      <c r="O39" s="171"/>
      <c r="P39" s="173"/>
      <c r="Q39" s="171" t="s">
        <v>377</v>
      </c>
      <c r="R39" s="171"/>
      <c r="S39" s="171"/>
      <c r="T39" s="171"/>
      <c r="U39" s="173"/>
      <c r="V39" s="170" t="s">
        <v>376</v>
      </c>
      <c r="W39" s="173"/>
      <c r="X39" s="170"/>
      <c r="Y39" s="171"/>
      <c r="Z39" s="171"/>
      <c r="AA39" s="171"/>
      <c r="AB39" s="171"/>
      <c r="AC39" s="173"/>
      <c r="AD39" s="170"/>
      <c r="AE39" s="171"/>
      <c r="AF39" s="173"/>
      <c r="AG39" s="170"/>
      <c r="AH39" s="171"/>
      <c r="AI39" s="173"/>
      <c r="AJ39" s="170"/>
      <c r="AK39" s="171"/>
      <c r="AL39" s="173"/>
      <c r="AM39" s="170"/>
      <c r="AN39" s="171"/>
      <c r="AO39" s="173"/>
      <c r="AP39" s="170"/>
      <c r="AQ39" s="171"/>
      <c r="AR39" s="171"/>
      <c r="AS39" s="220"/>
      <c r="AT39" s="221"/>
      <c r="AU39" s="222"/>
    </row>
    <row r="40" spans="5:47" ht="25" customHeight="1" thickBot="1" x14ac:dyDescent="0.9">
      <c r="E40" s="190"/>
      <c r="F40" s="118"/>
      <c r="H40" s="204"/>
      <c r="I40" s="176"/>
      <c r="J40" s="176"/>
      <c r="K40" s="176"/>
      <c r="L40" s="175"/>
      <c r="M40" s="174"/>
      <c r="N40" s="176"/>
      <c r="O40" s="176"/>
      <c r="P40" s="175"/>
      <c r="Q40" s="176"/>
      <c r="R40" s="176"/>
      <c r="S40" s="176"/>
      <c r="T40" s="176"/>
      <c r="U40" s="175"/>
      <c r="V40" s="174"/>
      <c r="W40" s="175"/>
      <c r="X40" s="174"/>
      <c r="Y40" s="176"/>
      <c r="Z40" s="176"/>
      <c r="AA40" s="176"/>
      <c r="AB40" s="176"/>
      <c r="AC40" s="175"/>
      <c r="AD40" s="174"/>
      <c r="AE40" s="176"/>
      <c r="AF40" s="175"/>
      <c r="AG40" s="174"/>
      <c r="AH40" s="176"/>
      <c r="AI40" s="175"/>
      <c r="AJ40" s="174"/>
      <c r="AK40" s="176"/>
      <c r="AL40" s="175"/>
      <c r="AM40" s="174"/>
      <c r="AN40" s="176"/>
      <c r="AO40" s="175"/>
      <c r="AP40" s="174"/>
      <c r="AQ40" s="176"/>
      <c r="AR40" s="176"/>
      <c r="AS40" s="223"/>
      <c r="AT40" s="224"/>
      <c r="AU40" s="225"/>
    </row>
    <row r="42" spans="5:47" ht="25" customHeight="1" x14ac:dyDescent="0.85">
      <c r="H42" s="113" t="s">
        <v>405</v>
      </c>
    </row>
    <row r="46" spans="5:47" ht="25" customHeight="1" x14ac:dyDescent="0.85">
      <c r="AE46" s="113" t="s">
        <v>411</v>
      </c>
    </row>
  </sheetData>
  <mergeCells count="77">
    <mergeCell ref="S34:W34"/>
    <mergeCell ref="X33:AA35"/>
    <mergeCell ref="Z31:AA32"/>
    <mergeCell ref="AB35:AE35"/>
    <mergeCell ref="AF31:AH34"/>
    <mergeCell ref="AF35:AH36"/>
    <mergeCell ref="Y36:AB36"/>
    <mergeCell ref="AB11:AE12"/>
    <mergeCell ref="AD13:AE14"/>
    <mergeCell ref="Z11:AA12"/>
    <mergeCell ref="AD15:AG16"/>
    <mergeCell ref="AF14:AG14"/>
    <mergeCell ref="AI31:AR36"/>
    <mergeCell ref="AD17:AE20"/>
    <mergeCell ref="AF17:AG20"/>
    <mergeCell ref="AD36:AE36"/>
    <mergeCell ref="AS31:AU34"/>
    <mergeCell ref="AS35:AU40"/>
    <mergeCell ref="AJ37:AL40"/>
    <mergeCell ref="AB31:AE32"/>
    <mergeCell ref="AD33:AE34"/>
    <mergeCell ref="Q38:S38"/>
    <mergeCell ref="Q39:U40"/>
    <mergeCell ref="AM37:AO40"/>
    <mergeCell ref="AP37:AR40"/>
    <mergeCell ref="AG37:AI40"/>
    <mergeCell ref="AD37:AF40"/>
    <mergeCell ref="V39:W40"/>
    <mergeCell ref="T38:W38"/>
    <mergeCell ref="AS11:AU14"/>
    <mergeCell ref="AS15:AU20"/>
    <mergeCell ref="AH18:AJ20"/>
    <mergeCell ref="AK18:AM20"/>
    <mergeCell ref="AN18:AR20"/>
    <mergeCell ref="AP11:AR13"/>
    <mergeCell ref="AI11:AO13"/>
    <mergeCell ref="AF11:AH13"/>
    <mergeCell ref="M36:P40"/>
    <mergeCell ref="Q35:W37"/>
    <mergeCell ref="L35:P35"/>
    <mergeCell ref="Z13:AA14"/>
    <mergeCell ref="H36:L40"/>
    <mergeCell ref="H31:K35"/>
    <mergeCell ref="L31:O34"/>
    <mergeCell ref="P31:R34"/>
    <mergeCell ref="S31:U33"/>
    <mergeCell ref="V31:W33"/>
    <mergeCell ref="X31:Y32"/>
    <mergeCell ref="H14:J15"/>
    <mergeCell ref="L11:N13"/>
    <mergeCell ref="O11:Q13"/>
    <mergeCell ref="X37:AC40"/>
    <mergeCell ref="AB20:AC20"/>
    <mergeCell ref="H8:AU8"/>
    <mergeCell ref="E11:E20"/>
    <mergeCell ref="AB33:AC34"/>
    <mergeCell ref="AH14:AR17"/>
    <mergeCell ref="H28:AU28"/>
    <mergeCell ref="E31:E40"/>
    <mergeCell ref="Y21:AD22"/>
    <mergeCell ref="Z20:AA20"/>
    <mergeCell ref="R11:T13"/>
    <mergeCell ref="K18:M20"/>
    <mergeCell ref="AB13:AC14"/>
    <mergeCell ref="U11:Y16"/>
    <mergeCell ref="H16:J20"/>
    <mergeCell ref="H11:K13"/>
    <mergeCell ref="Z15:AC19"/>
    <mergeCell ref="U17:Y17"/>
    <mergeCell ref="K14:R17"/>
    <mergeCell ref="S14:T16"/>
    <mergeCell ref="V18:Y19"/>
    <mergeCell ref="V20:X20"/>
    <mergeCell ref="S18:U20"/>
    <mergeCell ref="N18:P18"/>
    <mergeCell ref="Q18:R18"/>
    <mergeCell ref="N19:R2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U46"/>
  <sheetViews>
    <sheetView workbookViewId="0"/>
  </sheetViews>
  <sheetFormatPr defaultColWidth="3.5" defaultRowHeight="25" customHeight="1" x14ac:dyDescent="0.85"/>
  <cols>
    <col min="1" max="16384" width="3.5" style="113"/>
  </cols>
  <sheetData>
    <row r="1" spans="2:47" ht="25" customHeight="1" thickBot="1" x14ac:dyDescent="0.9"/>
    <row r="2" spans="2:47" ht="25" customHeight="1" thickTop="1" thickBot="1" x14ac:dyDescent="0.9">
      <c r="B2" s="114"/>
      <c r="C2" s="115" t="s">
        <v>410</v>
      </c>
    </row>
    <row r="3" spans="2:47" ht="25" customHeight="1" thickTop="1" x14ac:dyDescent="0.85"/>
    <row r="4" spans="2:47" ht="25" customHeight="1" x14ac:dyDescent="0.85">
      <c r="I4" s="116" t="s">
        <v>361</v>
      </c>
      <c r="J4" s="113">
        <v>12</v>
      </c>
      <c r="K4" s="113" t="s">
        <v>362</v>
      </c>
    </row>
    <row r="5" spans="2:47" ht="25" customHeight="1" x14ac:dyDescent="0.85">
      <c r="I5" s="116" t="s">
        <v>363</v>
      </c>
      <c r="J5" s="113">
        <v>6</v>
      </c>
      <c r="K5" s="113" t="s">
        <v>315</v>
      </c>
    </row>
    <row r="8" spans="2:47" ht="25" customHeight="1" x14ac:dyDescent="0.85">
      <c r="H8" s="183" t="str">
        <f>COUNTBLANK(H7:AU7)*5&amp;" feet"</f>
        <v>200 feet</v>
      </c>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7"/>
    </row>
    <row r="9" spans="2:47" ht="25" customHeight="1" x14ac:dyDescent="0.85">
      <c r="H9" s="111"/>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2"/>
    </row>
    <row r="10" spans="2:47" ht="25" customHeight="1" thickBot="1" x14ac:dyDescent="0.9"/>
    <row r="11" spans="2:47" ht="25" customHeight="1" thickTop="1" x14ac:dyDescent="0.85">
      <c r="E11" s="188" t="str">
        <f>COUNTBLANK(D11:D20)*5&amp;" feet"</f>
        <v>50 feet</v>
      </c>
      <c r="F11" s="117"/>
      <c r="H11" s="205" t="s">
        <v>371</v>
      </c>
      <c r="I11" s="178"/>
      <c r="J11" s="178"/>
      <c r="K11" s="179"/>
      <c r="L11" s="177" t="s">
        <v>373</v>
      </c>
      <c r="M11" s="178"/>
      <c r="N11" s="179"/>
      <c r="O11" s="177" t="s">
        <v>398</v>
      </c>
      <c r="P11" s="178"/>
      <c r="Q11" s="179"/>
      <c r="R11" s="177" t="s">
        <v>374</v>
      </c>
      <c r="S11" s="178"/>
      <c r="T11" s="179"/>
      <c r="U11" s="197" t="s">
        <v>369</v>
      </c>
      <c r="V11" s="196"/>
      <c r="W11" s="196"/>
      <c r="X11" s="196"/>
      <c r="Y11" s="198"/>
      <c r="Z11" s="197" t="s">
        <v>399</v>
      </c>
      <c r="AA11" s="198"/>
      <c r="AB11" s="197" t="s">
        <v>378</v>
      </c>
      <c r="AC11" s="196"/>
      <c r="AD11" s="196"/>
      <c r="AE11" s="198"/>
      <c r="AF11" s="177" t="s">
        <v>403</v>
      </c>
      <c r="AG11" s="178"/>
      <c r="AH11" s="179"/>
      <c r="AI11" s="178" t="s">
        <v>390</v>
      </c>
      <c r="AJ11" s="178"/>
      <c r="AK11" s="178"/>
      <c r="AL11" s="178"/>
      <c r="AM11" s="178"/>
      <c r="AN11" s="178"/>
      <c r="AO11" s="179"/>
      <c r="AP11" s="177" t="s">
        <v>414</v>
      </c>
      <c r="AQ11" s="178"/>
      <c r="AR11" s="179"/>
      <c r="AS11" s="177" t="s">
        <v>391</v>
      </c>
      <c r="AT11" s="178"/>
      <c r="AU11" s="209"/>
    </row>
    <row r="12" spans="2:47" ht="25" customHeight="1" thickBot="1" x14ac:dyDescent="0.9">
      <c r="E12" s="189"/>
      <c r="F12" s="110"/>
      <c r="H12" s="203"/>
      <c r="I12" s="171"/>
      <c r="J12" s="171"/>
      <c r="K12" s="173"/>
      <c r="L12" s="170"/>
      <c r="M12" s="171"/>
      <c r="N12" s="173"/>
      <c r="O12" s="170"/>
      <c r="P12" s="171"/>
      <c r="Q12" s="173"/>
      <c r="R12" s="170"/>
      <c r="S12" s="171"/>
      <c r="T12" s="173"/>
      <c r="U12" s="183"/>
      <c r="V12" s="184"/>
      <c r="W12" s="184"/>
      <c r="X12" s="184"/>
      <c r="Y12" s="187"/>
      <c r="Z12" s="199"/>
      <c r="AA12" s="201"/>
      <c r="AB12" s="183"/>
      <c r="AC12" s="184"/>
      <c r="AD12" s="184"/>
      <c r="AE12" s="187"/>
      <c r="AF12" s="170"/>
      <c r="AG12" s="171"/>
      <c r="AH12" s="173"/>
      <c r="AI12" s="171"/>
      <c r="AJ12" s="171"/>
      <c r="AK12" s="171"/>
      <c r="AL12" s="171"/>
      <c r="AM12" s="171"/>
      <c r="AN12" s="171"/>
      <c r="AO12" s="173"/>
      <c r="AP12" s="170"/>
      <c r="AQ12" s="171"/>
      <c r="AR12" s="173"/>
      <c r="AS12" s="170"/>
      <c r="AT12" s="171"/>
      <c r="AU12" s="210"/>
    </row>
    <row r="13" spans="2:47" ht="25" customHeight="1" thickBot="1" x14ac:dyDescent="0.9">
      <c r="E13" s="189"/>
      <c r="F13" s="110"/>
      <c r="H13" s="206"/>
      <c r="I13" s="181"/>
      <c r="J13" s="181"/>
      <c r="K13" s="182"/>
      <c r="L13" s="180"/>
      <c r="M13" s="181"/>
      <c r="N13" s="182"/>
      <c r="O13" s="180"/>
      <c r="P13" s="181"/>
      <c r="Q13" s="182"/>
      <c r="R13" s="180"/>
      <c r="S13" s="181"/>
      <c r="T13" s="182"/>
      <c r="U13" s="183"/>
      <c r="V13" s="184"/>
      <c r="W13" s="184"/>
      <c r="X13" s="184"/>
      <c r="Y13" s="187"/>
      <c r="Z13" s="170" t="s">
        <v>438</v>
      </c>
      <c r="AA13" s="173"/>
      <c r="AB13" s="168" t="s">
        <v>364</v>
      </c>
      <c r="AC13" s="172"/>
      <c r="AD13" s="170"/>
      <c r="AE13" s="173"/>
      <c r="AF13" s="181"/>
      <c r="AG13" s="181"/>
      <c r="AH13" s="182"/>
      <c r="AI13" s="181"/>
      <c r="AJ13" s="181"/>
      <c r="AK13" s="181"/>
      <c r="AL13" s="181"/>
      <c r="AM13" s="181"/>
      <c r="AN13" s="181"/>
      <c r="AO13" s="182"/>
      <c r="AP13" s="180"/>
      <c r="AQ13" s="181"/>
      <c r="AR13" s="182"/>
      <c r="AS13" s="170"/>
      <c r="AT13" s="171"/>
      <c r="AU13" s="210"/>
    </row>
    <row r="14" spans="2:47" ht="25" customHeight="1" thickBot="1" x14ac:dyDescent="0.9">
      <c r="E14" s="189"/>
      <c r="F14" s="110"/>
      <c r="H14" s="202" t="s">
        <v>372</v>
      </c>
      <c r="I14" s="169"/>
      <c r="J14" s="172"/>
      <c r="K14" s="168" t="s">
        <v>406</v>
      </c>
      <c r="L14" s="169"/>
      <c r="M14" s="169"/>
      <c r="N14" s="169"/>
      <c r="O14" s="169"/>
      <c r="P14" s="169"/>
      <c r="Q14" s="169"/>
      <c r="R14" s="169"/>
      <c r="S14" s="168" t="s">
        <v>376</v>
      </c>
      <c r="T14" s="172"/>
      <c r="U14" s="183"/>
      <c r="V14" s="184"/>
      <c r="W14" s="184"/>
      <c r="X14" s="184"/>
      <c r="Y14" s="187"/>
      <c r="Z14" s="180"/>
      <c r="AA14" s="182"/>
      <c r="AB14" s="180"/>
      <c r="AC14" s="182"/>
      <c r="AD14" s="180"/>
      <c r="AE14" s="182"/>
      <c r="AF14" s="168"/>
      <c r="AG14" s="169"/>
      <c r="AH14" s="171" t="s">
        <v>379</v>
      </c>
      <c r="AI14" s="171"/>
      <c r="AJ14" s="171"/>
      <c r="AK14" s="171"/>
      <c r="AL14" s="171"/>
      <c r="AM14" s="171"/>
      <c r="AN14" s="171"/>
      <c r="AO14" s="171"/>
      <c r="AP14" s="171"/>
      <c r="AQ14" s="171"/>
      <c r="AR14" s="171"/>
      <c r="AS14" s="180"/>
      <c r="AT14" s="181"/>
      <c r="AU14" s="211"/>
    </row>
    <row r="15" spans="2:47" ht="25" customHeight="1" thickBot="1" x14ac:dyDescent="0.9">
      <c r="E15" s="189"/>
      <c r="F15" s="110"/>
      <c r="H15" s="206"/>
      <c r="I15" s="181"/>
      <c r="J15" s="182"/>
      <c r="K15" s="170"/>
      <c r="L15" s="171"/>
      <c r="M15" s="171"/>
      <c r="N15" s="171"/>
      <c r="O15" s="171"/>
      <c r="P15" s="171"/>
      <c r="Q15" s="171"/>
      <c r="R15" s="171"/>
      <c r="S15" s="170"/>
      <c r="T15" s="173"/>
      <c r="U15" s="183"/>
      <c r="V15" s="184"/>
      <c r="W15" s="184"/>
      <c r="X15" s="184"/>
      <c r="Y15" s="187"/>
      <c r="Z15" s="169" t="s">
        <v>368</v>
      </c>
      <c r="AA15" s="169"/>
      <c r="AB15" s="169"/>
      <c r="AC15" s="169"/>
      <c r="AD15" s="171"/>
      <c r="AE15" s="171"/>
      <c r="AF15" s="171"/>
      <c r="AG15" s="171"/>
      <c r="AH15" s="171"/>
      <c r="AI15" s="171"/>
      <c r="AJ15" s="171"/>
      <c r="AK15" s="171"/>
      <c r="AL15" s="171"/>
      <c r="AM15" s="171"/>
      <c r="AN15" s="171"/>
      <c r="AO15" s="171"/>
      <c r="AP15" s="171"/>
      <c r="AQ15" s="171"/>
      <c r="AR15" s="171"/>
      <c r="AS15" s="168" t="s">
        <v>392</v>
      </c>
      <c r="AT15" s="169"/>
      <c r="AU15" s="212"/>
    </row>
    <row r="16" spans="2:47" ht="25" customHeight="1" thickBot="1" x14ac:dyDescent="0.9">
      <c r="E16" s="189"/>
      <c r="F16" s="110"/>
      <c r="H16" s="202" t="s">
        <v>370</v>
      </c>
      <c r="I16" s="169"/>
      <c r="J16" s="172"/>
      <c r="K16" s="170"/>
      <c r="L16" s="171"/>
      <c r="M16" s="171"/>
      <c r="N16" s="171"/>
      <c r="O16" s="171"/>
      <c r="P16" s="171"/>
      <c r="Q16" s="171"/>
      <c r="R16" s="171"/>
      <c r="S16" s="174"/>
      <c r="T16" s="175"/>
      <c r="U16" s="199"/>
      <c r="V16" s="200"/>
      <c r="W16" s="200"/>
      <c r="X16" s="200"/>
      <c r="Y16" s="201"/>
      <c r="Z16" s="171"/>
      <c r="AA16" s="171"/>
      <c r="AB16" s="171"/>
      <c r="AC16" s="171"/>
      <c r="AD16" s="181"/>
      <c r="AE16" s="181"/>
      <c r="AF16" s="181"/>
      <c r="AG16" s="181"/>
      <c r="AH16" s="171"/>
      <c r="AI16" s="171"/>
      <c r="AJ16" s="171"/>
      <c r="AK16" s="171"/>
      <c r="AL16" s="171"/>
      <c r="AM16" s="171"/>
      <c r="AN16" s="171"/>
      <c r="AO16" s="171"/>
      <c r="AP16" s="171"/>
      <c r="AQ16" s="171"/>
      <c r="AR16" s="171"/>
      <c r="AS16" s="170"/>
      <c r="AT16" s="171"/>
      <c r="AU16" s="210"/>
    </row>
    <row r="17" spans="5:47" ht="25" customHeight="1" thickTop="1" thickBot="1" x14ac:dyDescent="0.9">
      <c r="E17" s="189"/>
      <c r="F17" s="110"/>
      <c r="H17" s="203"/>
      <c r="I17" s="171"/>
      <c r="J17" s="173"/>
      <c r="K17" s="170"/>
      <c r="L17" s="171"/>
      <c r="M17" s="171"/>
      <c r="N17" s="171"/>
      <c r="O17" s="171"/>
      <c r="P17" s="171"/>
      <c r="Q17" s="171"/>
      <c r="R17" s="171"/>
      <c r="S17" s="119"/>
      <c r="T17" s="119"/>
      <c r="U17" s="207"/>
      <c r="V17" s="207"/>
      <c r="W17" s="207"/>
      <c r="X17" s="207"/>
      <c r="Y17" s="207"/>
      <c r="Z17" s="171"/>
      <c r="AA17" s="171"/>
      <c r="AB17" s="171"/>
      <c r="AC17" s="171"/>
      <c r="AD17" s="214" t="s">
        <v>380</v>
      </c>
      <c r="AE17" s="214"/>
      <c r="AF17" s="214" t="s">
        <v>381</v>
      </c>
      <c r="AG17" s="214"/>
      <c r="AH17" s="171"/>
      <c r="AI17" s="171"/>
      <c r="AJ17" s="171"/>
      <c r="AK17" s="171"/>
      <c r="AL17" s="171"/>
      <c r="AM17" s="171"/>
      <c r="AN17" s="171"/>
      <c r="AO17" s="171"/>
      <c r="AP17" s="171"/>
      <c r="AQ17" s="171"/>
      <c r="AR17" s="171"/>
      <c r="AS17" s="170"/>
      <c r="AT17" s="171"/>
      <c r="AU17" s="210"/>
    </row>
    <row r="18" spans="5:47" ht="25" customHeight="1" thickTop="1" x14ac:dyDescent="0.85">
      <c r="E18" s="189"/>
      <c r="F18" s="110"/>
      <c r="H18" s="203"/>
      <c r="I18" s="171"/>
      <c r="J18" s="173"/>
      <c r="K18" s="168" t="s">
        <v>375</v>
      </c>
      <c r="L18" s="169"/>
      <c r="M18" s="172"/>
      <c r="N18" s="183"/>
      <c r="O18" s="184"/>
      <c r="P18" s="184"/>
      <c r="Q18" s="185"/>
      <c r="R18" s="186"/>
      <c r="S18" s="177" t="s">
        <v>412</v>
      </c>
      <c r="T18" s="178"/>
      <c r="U18" s="179"/>
      <c r="V18" s="169" t="s">
        <v>290</v>
      </c>
      <c r="W18" s="169"/>
      <c r="X18" s="169"/>
      <c r="Y18" s="172"/>
      <c r="Z18" s="171"/>
      <c r="AA18" s="171"/>
      <c r="AB18" s="171"/>
      <c r="AC18" s="171"/>
      <c r="AD18" s="215"/>
      <c r="AE18" s="215"/>
      <c r="AF18" s="215"/>
      <c r="AG18" s="215"/>
      <c r="AH18" s="168" t="s">
        <v>394</v>
      </c>
      <c r="AI18" s="169"/>
      <c r="AJ18" s="172"/>
      <c r="AK18" s="168" t="s">
        <v>393</v>
      </c>
      <c r="AL18" s="169"/>
      <c r="AM18" s="172"/>
      <c r="AN18" s="168" t="s">
        <v>395</v>
      </c>
      <c r="AO18" s="169"/>
      <c r="AP18" s="169"/>
      <c r="AQ18" s="169"/>
      <c r="AR18" s="172"/>
      <c r="AS18" s="170"/>
      <c r="AT18" s="171"/>
      <c r="AU18" s="210"/>
    </row>
    <row r="19" spans="5:47" ht="25" customHeight="1" thickBot="1" x14ac:dyDescent="0.9">
      <c r="E19" s="189"/>
      <c r="F19" s="110"/>
      <c r="H19" s="203"/>
      <c r="I19" s="171"/>
      <c r="J19" s="173"/>
      <c r="K19" s="170"/>
      <c r="L19" s="171"/>
      <c r="M19" s="173"/>
      <c r="N19" s="170" t="s">
        <v>377</v>
      </c>
      <c r="O19" s="171"/>
      <c r="P19" s="171"/>
      <c r="Q19" s="171"/>
      <c r="R19" s="173"/>
      <c r="S19" s="170"/>
      <c r="T19" s="171"/>
      <c r="U19" s="173"/>
      <c r="V19" s="171"/>
      <c r="W19" s="171"/>
      <c r="X19" s="171"/>
      <c r="Y19" s="173"/>
      <c r="Z19" s="171"/>
      <c r="AA19" s="171"/>
      <c r="AB19" s="171"/>
      <c r="AC19" s="171"/>
      <c r="AD19" s="215"/>
      <c r="AE19" s="215"/>
      <c r="AF19" s="215"/>
      <c r="AG19" s="215"/>
      <c r="AH19" s="170"/>
      <c r="AI19" s="171"/>
      <c r="AJ19" s="173"/>
      <c r="AK19" s="170"/>
      <c r="AL19" s="171"/>
      <c r="AM19" s="173"/>
      <c r="AN19" s="170"/>
      <c r="AO19" s="171"/>
      <c r="AP19" s="171"/>
      <c r="AQ19" s="171"/>
      <c r="AR19" s="173"/>
      <c r="AS19" s="170"/>
      <c r="AT19" s="171"/>
      <c r="AU19" s="210"/>
    </row>
    <row r="20" spans="5:47" ht="25" customHeight="1" thickTop="1" thickBot="1" x14ac:dyDescent="0.9">
      <c r="E20" s="190"/>
      <c r="F20" s="118"/>
      <c r="H20" s="204"/>
      <c r="I20" s="176"/>
      <c r="J20" s="175"/>
      <c r="K20" s="174"/>
      <c r="L20" s="176"/>
      <c r="M20" s="175"/>
      <c r="N20" s="174"/>
      <c r="O20" s="176"/>
      <c r="P20" s="176"/>
      <c r="Q20" s="176"/>
      <c r="R20" s="175"/>
      <c r="S20" s="180"/>
      <c r="T20" s="181"/>
      <c r="U20" s="182"/>
      <c r="V20" s="176"/>
      <c r="W20" s="176"/>
      <c r="X20" s="176"/>
      <c r="Y20" s="120"/>
      <c r="Z20" s="196"/>
      <c r="AA20" s="196"/>
      <c r="AB20" s="204"/>
      <c r="AC20" s="175"/>
      <c r="AD20" s="216"/>
      <c r="AE20" s="216"/>
      <c r="AF20" s="216"/>
      <c r="AG20" s="216"/>
      <c r="AH20" s="174"/>
      <c r="AI20" s="176"/>
      <c r="AJ20" s="175"/>
      <c r="AK20" s="174"/>
      <c r="AL20" s="176"/>
      <c r="AM20" s="175"/>
      <c r="AN20" s="174"/>
      <c r="AO20" s="176"/>
      <c r="AP20" s="176"/>
      <c r="AQ20" s="176"/>
      <c r="AR20" s="175"/>
      <c r="AS20" s="174"/>
      <c r="AT20" s="176"/>
      <c r="AU20" s="213"/>
    </row>
    <row r="21" spans="5:47" ht="25" customHeight="1" x14ac:dyDescent="0.85">
      <c r="Y21" s="191" t="s">
        <v>367</v>
      </c>
      <c r="Z21" s="171"/>
      <c r="AA21" s="171"/>
      <c r="AB21" s="171"/>
      <c r="AC21" s="171"/>
      <c r="AD21" s="192"/>
    </row>
    <row r="22" spans="5:47" ht="25" customHeight="1" thickBot="1" x14ac:dyDescent="0.9">
      <c r="H22" s="113" t="s">
        <v>404</v>
      </c>
      <c r="M22" s="113" t="s">
        <v>423</v>
      </c>
      <c r="Y22" s="193"/>
      <c r="Z22" s="194"/>
      <c r="AA22" s="194"/>
      <c r="AB22" s="194"/>
      <c r="AC22" s="194"/>
      <c r="AD22" s="195"/>
    </row>
    <row r="23" spans="5:47" ht="25" customHeight="1" x14ac:dyDescent="0.85">
      <c r="M23" s="113" t="s">
        <v>416</v>
      </c>
    </row>
    <row r="24" spans="5:47" ht="25" customHeight="1" x14ac:dyDescent="0.85">
      <c r="H24" s="121" t="s">
        <v>413</v>
      </c>
      <c r="M24" s="113" t="s">
        <v>415</v>
      </c>
    </row>
    <row r="25" spans="5:47" ht="25" customHeight="1" x14ac:dyDescent="0.85">
      <c r="M25" s="113" t="s">
        <v>417</v>
      </c>
    </row>
    <row r="26" spans="5:47" ht="25" customHeight="1" x14ac:dyDescent="0.85">
      <c r="M26" s="113" t="s">
        <v>418</v>
      </c>
    </row>
    <row r="28" spans="5:47" ht="25" customHeight="1" x14ac:dyDescent="0.85">
      <c r="H28" s="183" t="str">
        <f>COUNTBLANK(H27:AU27)*5&amp;" feet"</f>
        <v>200 feet</v>
      </c>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7"/>
    </row>
    <row r="29" spans="5:47" ht="25" customHeight="1" x14ac:dyDescent="0.85">
      <c r="H29" s="111"/>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2"/>
    </row>
    <row r="30" spans="5:47" ht="25" customHeight="1" thickBot="1" x14ac:dyDescent="0.9"/>
    <row r="31" spans="5:47" ht="25" customHeight="1" thickTop="1" thickBot="1" x14ac:dyDescent="0.9">
      <c r="E31" s="188" t="str">
        <f>COUNTBLANK(D31:D40)*5&amp;" feet"</f>
        <v>50 feet</v>
      </c>
      <c r="F31" s="117"/>
      <c r="H31" s="205" t="s">
        <v>382</v>
      </c>
      <c r="I31" s="178"/>
      <c r="J31" s="178"/>
      <c r="K31" s="179"/>
      <c r="L31" s="177" t="s">
        <v>385</v>
      </c>
      <c r="M31" s="178"/>
      <c r="N31" s="178"/>
      <c r="O31" s="179"/>
      <c r="P31" s="177" t="s">
        <v>388</v>
      </c>
      <c r="Q31" s="178"/>
      <c r="R31" s="179"/>
      <c r="S31" s="177" t="s">
        <v>389</v>
      </c>
      <c r="T31" s="178"/>
      <c r="U31" s="179"/>
      <c r="V31" s="177" t="s">
        <v>387</v>
      </c>
      <c r="W31" s="179"/>
      <c r="X31" s="177" t="s">
        <v>386</v>
      </c>
      <c r="Y31" s="179"/>
      <c r="Z31" s="197"/>
      <c r="AA31" s="229"/>
      <c r="AB31" s="226" t="s">
        <v>365</v>
      </c>
      <c r="AC31" s="196"/>
      <c r="AD31" s="196"/>
      <c r="AE31" s="198"/>
      <c r="AF31" s="177" t="s">
        <v>408</v>
      </c>
      <c r="AG31" s="178"/>
      <c r="AH31" s="179"/>
      <c r="AI31" s="178" t="s">
        <v>424</v>
      </c>
      <c r="AJ31" s="178"/>
      <c r="AK31" s="178"/>
      <c r="AL31" s="178"/>
      <c r="AM31" s="178"/>
      <c r="AN31" s="178"/>
      <c r="AO31" s="178"/>
      <c r="AP31" s="178"/>
      <c r="AQ31" s="178"/>
      <c r="AR31" s="179"/>
      <c r="AS31" s="217" t="s">
        <v>396</v>
      </c>
      <c r="AT31" s="218"/>
      <c r="AU31" s="219"/>
    </row>
    <row r="32" spans="5:47" ht="25" customHeight="1" thickBot="1" x14ac:dyDescent="0.9">
      <c r="E32" s="189"/>
      <c r="F32" s="110"/>
      <c r="H32" s="203"/>
      <c r="I32" s="171"/>
      <c r="J32" s="171"/>
      <c r="K32" s="173"/>
      <c r="L32" s="170"/>
      <c r="M32" s="171"/>
      <c r="N32" s="171"/>
      <c r="O32" s="173"/>
      <c r="P32" s="170"/>
      <c r="Q32" s="171"/>
      <c r="R32" s="173"/>
      <c r="S32" s="170"/>
      <c r="T32" s="171"/>
      <c r="U32" s="173"/>
      <c r="V32" s="170"/>
      <c r="W32" s="173"/>
      <c r="X32" s="180"/>
      <c r="Y32" s="182"/>
      <c r="Z32" s="183"/>
      <c r="AA32" s="230"/>
      <c r="AB32" s="227"/>
      <c r="AC32" s="184"/>
      <c r="AD32" s="184"/>
      <c r="AE32" s="187"/>
      <c r="AF32" s="170"/>
      <c r="AG32" s="171"/>
      <c r="AH32" s="173"/>
      <c r="AI32" s="171"/>
      <c r="AJ32" s="171"/>
      <c r="AK32" s="171"/>
      <c r="AL32" s="171"/>
      <c r="AM32" s="171"/>
      <c r="AN32" s="171"/>
      <c r="AO32" s="171"/>
      <c r="AP32" s="171"/>
      <c r="AQ32" s="171"/>
      <c r="AR32" s="173"/>
      <c r="AS32" s="220"/>
      <c r="AT32" s="221"/>
      <c r="AU32" s="222"/>
    </row>
    <row r="33" spans="5:47" ht="25" customHeight="1" thickBot="1" x14ac:dyDescent="0.9">
      <c r="E33" s="189"/>
      <c r="F33" s="110"/>
      <c r="H33" s="203"/>
      <c r="I33" s="171"/>
      <c r="J33" s="171"/>
      <c r="K33" s="173"/>
      <c r="L33" s="170"/>
      <c r="M33" s="171"/>
      <c r="N33" s="171"/>
      <c r="O33" s="173"/>
      <c r="P33" s="170"/>
      <c r="Q33" s="171"/>
      <c r="R33" s="173"/>
      <c r="S33" s="180"/>
      <c r="T33" s="181"/>
      <c r="U33" s="182"/>
      <c r="V33" s="180"/>
      <c r="W33" s="182"/>
      <c r="X33" s="184"/>
      <c r="Y33" s="184"/>
      <c r="Z33" s="184"/>
      <c r="AA33" s="184"/>
      <c r="AB33" s="168" t="s">
        <v>364</v>
      </c>
      <c r="AC33" s="172"/>
      <c r="AD33" s="170"/>
      <c r="AE33" s="173"/>
      <c r="AF33" s="170"/>
      <c r="AG33" s="171"/>
      <c r="AH33" s="173"/>
      <c r="AI33" s="171"/>
      <c r="AJ33" s="171"/>
      <c r="AK33" s="171"/>
      <c r="AL33" s="171"/>
      <c r="AM33" s="171"/>
      <c r="AN33" s="171"/>
      <c r="AO33" s="171"/>
      <c r="AP33" s="171"/>
      <c r="AQ33" s="171"/>
      <c r="AR33" s="173"/>
      <c r="AS33" s="220"/>
      <c r="AT33" s="221"/>
      <c r="AU33" s="222"/>
    </row>
    <row r="34" spans="5:47" ht="25" customHeight="1" thickBot="1" x14ac:dyDescent="0.9">
      <c r="E34" s="189"/>
      <c r="F34" s="110"/>
      <c r="H34" s="203"/>
      <c r="I34" s="171"/>
      <c r="J34" s="171"/>
      <c r="K34" s="173"/>
      <c r="L34" s="180"/>
      <c r="M34" s="181"/>
      <c r="N34" s="181"/>
      <c r="O34" s="182"/>
      <c r="P34" s="180"/>
      <c r="Q34" s="181"/>
      <c r="R34" s="182"/>
      <c r="S34" s="111"/>
      <c r="T34" s="110"/>
      <c r="U34" s="110"/>
      <c r="V34" s="110"/>
      <c r="W34" s="110"/>
      <c r="X34" s="184"/>
      <c r="Y34" s="184"/>
      <c r="Z34" s="184"/>
      <c r="AA34" s="184"/>
      <c r="AB34" s="180"/>
      <c r="AC34" s="182"/>
      <c r="AD34" s="180"/>
      <c r="AE34" s="182"/>
      <c r="AF34" s="180"/>
      <c r="AG34" s="181"/>
      <c r="AH34" s="182"/>
      <c r="AI34" s="171"/>
      <c r="AJ34" s="171"/>
      <c r="AK34" s="171"/>
      <c r="AL34" s="171"/>
      <c r="AM34" s="171"/>
      <c r="AN34" s="171"/>
      <c r="AO34" s="171"/>
      <c r="AP34" s="171"/>
      <c r="AQ34" s="171"/>
      <c r="AR34" s="173"/>
      <c r="AS34" s="220"/>
      <c r="AT34" s="221"/>
      <c r="AU34" s="222"/>
    </row>
    <row r="35" spans="5:47" ht="25" customHeight="1" thickBot="1" x14ac:dyDescent="0.9">
      <c r="E35" s="189"/>
      <c r="F35" s="110"/>
      <c r="H35" s="206"/>
      <c r="I35" s="181"/>
      <c r="J35" s="181"/>
      <c r="K35" s="182"/>
      <c r="L35" s="208"/>
      <c r="M35" s="207"/>
      <c r="N35" s="207"/>
      <c r="O35" s="207"/>
      <c r="P35" s="207"/>
      <c r="Q35" s="171" t="s">
        <v>407</v>
      </c>
      <c r="R35" s="171"/>
      <c r="S35" s="171"/>
      <c r="T35" s="171"/>
      <c r="U35" s="171"/>
      <c r="V35" s="171"/>
      <c r="W35" s="171"/>
      <c r="X35" s="184"/>
      <c r="Y35" s="184"/>
      <c r="Z35" s="184"/>
      <c r="AA35" s="184"/>
      <c r="AB35" s="185"/>
      <c r="AC35" s="185"/>
      <c r="AD35" s="185"/>
      <c r="AE35" s="185"/>
      <c r="AF35" s="171"/>
      <c r="AG35" s="171"/>
      <c r="AH35" s="171"/>
      <c r="AI35" s="171"/>
      <c r="AJ35" s="171"/>
      <c r="AK35" s="171"/>
      <c r="AL35" s="171"/>
      <c r="AM35" s="171"/>
      <c r="AN35" s="171"/>
      <c r="AO35" s="171"/>
      <c r="AP35" s="171"/>
      <c r="AQ35" s="171"/>
      <c r="AR35" s="173"/>
      <c r="AS35" s="220" t="s">
        <v>397</v>
      </c>
      <c r="AT35" s="221"/>
      <c r="AU35" s="222"/>
    </row>
    <row r="36" spans="5:47" ht="25" customHeight="1" thickBot="1" x14ac:dyDescent="0.9">
      <c r="E36" s="189"/>
      <c r="F36" s="110"/>
      <c r="H36" s="202" t="s">
        <v>383</v>
      </c>
      <c r="I36" s="169"/>
      <c r="J36" s="169"/>
      <c r="K36" s="169"/>
      <c r="L36" s="172"/>
      <c r="M36" s="168" t="s">
        <v>384</v>
      </c>
      <c r="N36" s="169"/>
      <c r="O36" s="169"/>
      <c r="P36" s="172"/>
      <c r="Q36" s="171"/>
      <c r="R36" s="171"/>
      <c r="S36" s="171"/>
      <c r="T36" s="171"/>
      <c r="U36" s="171"/>
      <c r="V36" s="171"/>
      <c r="W36" s="171"/>
      <c r="X36" s="123"/>
      <c r="Y36" s="181"/>
      <c r="Z36" s="181"/>
      <c r="AA36" s="181"/>
      <c r="AB36" s="181"/>
      <c r="AC36" s="123"/>
      <c r="AD36" s="181"/>
      <c r="AE36" s="181"/>
      <c r="AF36" s="181"/>
      <c r="AG36" s="181"/>
      <c r="AH36" s="181"/>
      <c r="AI36" s="181"/>
      <c r="AJ36" s="181"/>
      <c r="AK36" s="181"/>
      <c r="AL36" s="181"/>
      <c r="AM36" s="181"/>
      <c r="AN36" s="181"/>
      <c r="AO36" s="181"/>
      <c r="AP36" s="181"/>
      <c r="AQ36" s="181"/>
      <c r="AR36" s="182"/>
      <c r="AS36" s="220"/>
      <c r="AT36" s="221"/>
      <c r="AU36" s="222"/>
    </row>
    <row r="37" spans="5:47" ht="25" customHeight="1" thickBot="1" x14ac:dyDescent="0.9">
      <c r="E37" s="189"/>
      <c r="F37" s="110"/>
      <c r="H37" s="203"/>
      <c r="I37" s="171"/>
      <c r="J37" s="171"/>
      <c r="K37" s="171"/>
      <c r="L37" s="173"/>
      <c r="M37" s="170"/>
      <c r="N37" s="171"/>
      <c r="O37" s="171"/>
      <c r="P37" s="173"/>
      <c r="Q37" s="171"/>
      <c r="R37" s="171"/>
      <c r="S37" s="171"/>
      <c r="T37" s="171"/>
      <c r="U37" s="171"/>
      <c r="V37" s="171"/>
      <c r="W37" s="171"/>
      <c r="X37" s="170" t="s">
        <v>366</v>
      </c>
      <c r="Y37" s="171"/>
      <c r="Z37" s="171"/>
      <c r="AA37" s="171"/>
      <c r="AB37" s="171"/>
      <c r="AC37" s="173"/>
      <c r="AD37" s="168" t="s">
        <v>380</v>
      </c>
      <c r="AE37" s="169"/>
      <c r="AF37" s="172"/>
      <c r="AG37" s="168" t="s">
        <v>381</v>
      </c>
      <c r="AH37" s="169"/>
      <c r="AI37" s="172"/>
      <c r="AJ37" s="168" t="s">
        <v>400</v>
      </c>
      <c r="AK37" s="169"/>
      <c r="AL37" s="172"/>
      <c r="AM37" s="168" t="s">
        <v>402</v>
      </c>
      <c r="AN37" s="169"/>
      <c r="AO37" s="172"/>
      <c r="AP37" s="168" t="s">
        <v>401</v>
      </c>
      <c r="AQ37" s="169"/>
      <c r="AR37" s="169"/>
      <c r="AS37" s="220"/>
      <c r="AT37" s="221"/>
      <c r="AU37" s="222"/>
    </row>
    <row r="38" spans="5:47" ht="25" customHeight="1" thickBot="1" x14ac:dyDescent="0.9">
      <c r="E38" s="189"/>
      <c r="F38" s="110"/>
      <c r="H38" s="203"/>
      <c r="I38" s="171"/>
      <c r="J38" s="171"/>
      <c r="K38" s="171"/>
      <c r="L38" s="173"/>
      <c r="M38" s="170"/>
      <c r="N38" s="171"/>
      <c r="O38" s="171"/>
      <c r="P38" s="173"/>
      <c r="Q38" s="184"/>
      <c r="R38" s="184"/>
      <c r="S38" s="184"/>
      <c r="T38" s="185"/>
      <c r="U38" s="186"/>
      <c r="V38" s="168" t="s">
        <v>376</v>
      </c>
      <c r="W38" s="169"/>
      <c r="X38" s="170"/>
      <c r="Y38" s="171"/>
      <c r="Z38" s="171"/>
      <c r="AA38" s="171"/>
      <c r="AB38" s="171"/>
      <c r="AC38" s="173"/>
      <c r="AD38" s="170"/>
      <c r="AE38" s="171"/>
      <c r="AF38" s="173"/>
      <c r="AG38" s="170"/>
      <c r="AH38" s="171"/>
      <c r="AI38" s="173"/>
      <c r="AJ38" s="170"/>
      <c r="AK38" s="171"/>
      <c r="AL38" s="173"/>
      <c r="AM38" s="170"/>
      <c r="AN38" s="171"/>
      <c r="AO38" s="173"/>
      <c r="AP38" s="170"/>
      <c r="AQ38" s="171"/>
      <c r="AR38" s="171"/>
      <c r="AS38" s="220"/>
      <c r="AT38" s="221"/>
      <c r="AU38" s="222"/>
    </row>
    <row r="39" spans="5:47" ht="25" customHeight="1" thickBot="1" x14ac:dyDescent="0.9">
      <c r="E39" s="189"/>
      <c r="F39" s="110"/>
      <c r="H39" s="203"/>
      <c r="I39" s="171"/>
      <c r="J39" s="171"/>
      <c r="K39" s="171"/>
      <c r="L39" s="173"/>
      <c r="M39" s="170"/>
      <c r="N39" s="171"/>
      <c r="O39" s="171"/>
      <c r="P39" s="173"/>
      <c r="Q39" s="171" t="s">
        <v>377</v>
      </c>
      <c r="R39" s="171"/>
      <c r="S39" s="171"/>
      <c r="T39" s="171"/>
      <c r="U39" s="173"/>
      <c r="V39" s="170"/>
      <c r="W39" s="171"/>
      <c r="X39" s="170"/>
      <c r="Y39" s="171"/>
      <c r="Z39" s="171"/>
      <c r="AA39" s="171"/>
      <c r="AB39" s="171"/>
      <c r="AC39" s="173"/>
      <c r="AD39" s="170"/>
      <c r="AE39" s="171"/>
      <c r="AF39" s="173"/>
      <c r="AG39" s="170"/>
      <c r="AH39" s="171"/>
      <c r="AI39" s="173"/>
      <c r="AJ39" s="170"/>
      <c r="AK39" s="171"/>
      <c r="AL39" s="173"/>
      <c r="AM39" s="170"/>
      <c r="AN39" s="171"/>
      <c r="AO39" s="173"/>
      <c r="AP39" s="170"/>
      <c r="AQ39" s="171"/>
      <c r="AR39" s="171"/>
      <c r="AS39" s="220"/>
      <c r="AT39" s="221"/>
      <c r="AU39" s="222"/>
    </row>
    <row r="40" spans="5:47" ht="25" customHeight="1" thickBot="1" x14ac:dyDescent="0.9">
      <c r="E40" s="190"/>
      <c r="F40" s="118"/>
      <c r="H40" s="204"/>
      <c r="I40" s="176"/>
      <c r="J40" s="176"/>
      <c r="K40" s="176"/>
      <c r="L40" s="175"/>
      <c r="M40" s="174"/>
      <c r="N40" s="176"/>
      <c r="O40" s="176"/>
      <c r="P40" s="175"/>
      <c r="Q40" s="176"/>
      <c r="R40" s="176"/>
      <c r="S40" s="176"/>
      <c r="T40" s="176"/>
      <c r="U40" s="175"/>
      <c r="V40" s="174"/>
      <c r="W40" s="176"/>
      <c r="X40" s="174"/>
      <c r="Y40" s="176"/>
      <c r="Z40" s="176"/>
      <c r="AA40" s="176"/>
      <c r="AB40" s="176"/>
      <c r="AC40" s="175"/>
      <c r="AD40" s="174"/>
      <c r="AE40" s="176"/>
      <c r="AF40" s="175"/>
      <c r="AG40" s="174"/>
      <c r="AH40" s="176"/>
      <c r="AI40" s="175"/>
      <c r="AJ40" s="174"/>
      <c r="AK40" s="176"/>
      <c r="AL40" s="175"/>
      <c r="AM40" s="174"/>
      <c r="AN40" s="176"/>
      <c r="AO40" s="175"/>
      <c r="AP40" s="174"/>
      <c r="AQ40" s="176"/>
      <c r="AR40" s="176"/>
      <c r="AS40" s="223"/>
      <c r="AT40" s="224"/>
      <c r="AU40" s="225"/>
    </row>
    <row r="42" spans="5:47" ht="25" customHeight="1" x14ac:dyDescent="0.85">
      <c r="H42" s="113" t="s">
        <v>405</v>
      </c>
      <c r="M42" s="113" t="s">
        <v>423</v>
      </c>
    </row>
    <row r="43" spans="5:47" ht="25" customHeight="1" x14ac:dyDescent="0.85">
      <c r="M43" s="113" t="s">
        <v>419</v>
      </c>
    </row>
    <row r="44" spans="5:47" ht="25" customHeight="1" x14ac:dyDescent="0.85">
      <c r="M44" s="113" t="s">
        <v>420</v>
      </c>
    </row>
    <row r="45" spans="5:47" ht="25" customHeight="1" x14ac:dyDescent="0.85">
      <c r="M45" s="113" t="s">
        <v>421</v>
      </c>
    </row>
    <row r="46" spans="5:47" ht="25" customHeight="1" x14ac:dyDescent="0.85">
      <c r="M46" s="113" t="s">
        <v>422</v>
      </c>
      <c r="AE46" s="113" t="s">
        <v>411</v>
      </c>
    </row>
  </sheetData>
  <mergeCells count="76">
    <mergeCell ref="Z31:AA32"/>
    <mergeCell ref="AB31:AE32"/>
    <mergeCell ref="X33:AA35"/>
    <mergeCell ref="AD33:AE34"/>
    <mergeCell ref="AB35:AE35"/>
    <mergeCell ref="AB33:AC34"/>
    <mergeCell ref="Z11:AA12"/>
    <mergeCell ref="AB11:AE12"/>
    <mergeCell ref="AD13:AE14"/>
    <mergeCell ref="AF14:AG14"/>
    <mergeCell ref="AD15:AG16"/>
    <mergeCell ref="Q38:S38"/>
    <mergeCell ref="T38:U38"/>
    <mergeCell ref="V38:W40"/>
    <mergeCell ref="Q39:U40"/>
    <mergeCell ref="AG37:AI40"/>
    <mergeCell ref="Y36:AB36"/>
    <mergeCell ref="X37:AC40"/>
    <mergeCell ref="AD37:AF40"/>
    <mergeCell ref="AJ37:AL40"/>
    <mergeCell ref="AD36:AE36"/>
    <mergeCell ref="AF35:AH36"/>
    <mergeCell ref="AS35:AU40"/>
    <mergeCell ref="AF31:AH34"/>
    <mergeCell ref="AI31:AR36"/>
    <mergeCell ref="AS31:AU34"/>
    <mergeCell ref="AM37:AO40"/>
    <mergeCell ref="AP37:AR40"/>
    <mergeCell ref="Y21:AD22"/>
    <mergeCell ref="H28:AU28"/>
    <mergeCell ref="AS15:AU20"/>
    <mergeCell ref="H16:J20"/>
    <mergeCell ref="U17:Y17"/>
    <mergeCell ref="AD17:AE20"/>
    <mergeCell ref="AF17:AG20"/>
    <mergeCell ref="K18:M20"/>
    <mergeCell ref="N18:P18"/>
    <mergeCell ref="Q18:R18"/>
    <mergeCell ref="S18:U20"/>
    <mergeCell ref="V18:Y19"/>
    <mergeCell ref="K14:R17"/>
    <mergeCell ref="S14:T16"/>
    <mergeCell ref="Z20:AA20"/>
    <mergeCell ref="AB20:AC20"/>
    <mergeCell ref="V20:X20"/>
    <mergeCell ref="E31:E40"/>
    <mergeCell ref="H31:K35"/>
    <mergeCell ref="L31:O34"/>
    <mergeCell ref="P31:R34"/>
    <mergeCell ref="S31:U33"/>
    <mergeCell ref="L35:P35"/>
    <mergeCell ref="Q35:W37"/>
    <mergeCell ref="H36:L40"/>
    <mergeCell ref="M36:P40"/>
    <mergeCell ref="E11:E20"/>
    <mergeCell ref="R11:T13"/>
    <mergeCell ref="N19:R20"/>
    <mergeCell ref="H14:J15"/>
    <mergeCell ref="V31:W33"/>
    <mergeCell ref="X31:Y32"/>
    <mergeCell ref="H8:AU8"/>
    <mergeCell ref="U11:Y16"/>
    <mergeCell ref="AF11:AH13"/>
    <mergeCell ref="AI11:AO13"/>
    <mergeCell ref="AP11:AR13"/>
    <mergeCell ref="AS11:AU14"/>
    <mergeCell ref="Z13:AA14"/>
    <mergeCell ref="AB13:AC14"/>
    <mergeCell ref="AH14:AR17"/>
    <mergeCell ref="Z15:AC19"/>
    <mergeCell ref="AH18:AJ20"/>
    <mergeCell ref="AK18:AM20"/>
    <mergeCell ref="AN18:AR20"/>
    <mergeCell ref="H11:K13"/>
    <mergeCell ref="L11:N13"/>
    <mergeCell ref="O11:Q1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C61D8-1EE4-40F4-BEFD-137EF829B8B0}">
  <dimension ref="B1:AU46"/>
  <sheetViews>
    <sheetView topLeftCell="G40" workbookViewId="0">
      <selection activeCell="G7" sqref="G7:AV47"/>
    </sheetView>
  </sheetViews>
  <sheetFormatPr defaultColWidth="3.5" defaultRowHeight="25" customHeight="1" x14ac:dyDescent="0.85"/>
  <cols>
    <col min="1" max="16384" width="3.5" style="113"/>
  </cols>
  <sheetData>
    <row r="1" spans="2:47" ht="25" customHeight="1" thickBot="1" x14ac:dyDescent="0.9"/>
    <row r="2" spans="2:47" ht="25" customHeight="1" thickTop="1" thickBot="1" x14ac:dyDescent="0.9">
      <c r="B2" s="114"/>
      <c r="C2" s="115" t="s">
        <v>410</v>
      </c>
    </row>
    <row r="3" spans="2:47" ht="25" customHeight="1" thickTop="1" x14ac:dyDescent="0.85"/>
    <row r="4" spans="2:47" ht="25" customHeight="1" x14ac:dyDescent="0.85">
      <c r="I4" s="116" t="s">
        <v>361</v>
      </c>
      <c r="J4" s="113">
        <v>12</v>
      </c>
      <c r="K4" s="113" t="s">
        <v>362</v>
      </c>
    </row>
    <row r="5" spans="2:47" ht="25" customHeight="1" x14ac:dyDescent="0.85">
      <c r="I5" s="116" t="s">
        <v>363</v>
      </c>
      <c r="J5" s="113">
        <v>6</v>
      </c>
      <c r="K5" s="113" t="s">
        <v>315</v>
      </c>
    </row>
    <row r="8" spans="2:47" ht="25" customHeight="1" x14ac:dyDescent="0.85">
      <c r="H8" s="183" t="str">
        <f>COUNTBLANK(H7:AU7)*5&amp;" feet"</f>
        <v>200 feet</v>
      </c>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7"/>
    </row>
    <row r="9" spans="2:47" ht="25" customHeight="1" x14ac:dyDescent="0.85">
      <c r="H9" s="111"/>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2"/>
    </row>
    <row r="10" spans="2:47" ht="25" customHeight="1" thickBot="1" x14ac:dyDescent="0.9"/>
    <row r="11" spans="2:47" ht="25" customHeight="1" thickTop="1" x14ac:dyDescent="0.85">
      <c r="E11" s="188" t="str">
        <f>COUNTBLANK(D11:D20)*5&amp;" feet"</f>
        <v>50 feet</v>
      </c>
      <c r="F11" s="117"/>
      <c r="H11" s="205" t="s">
        <v>371</v>
      </c>
      <c r="I11" s="178"/>
      <c r="J11" s="178"/>
      <c r="K11" s="179"/>
      <c r="L11" s="177" t="s">
        <v>373</v>
      </c>
      <c r="M11" s="178"/>
      <c r="N11" s="179"/>
      <c r="O11" s="177" t="s">
        <v>398</v>
      </c>
      <c r="P11" s="178"/>
      <c r="Q11" s="179"/>
      <c r="R11" s="177" t="s">
        <v>374</v>
      </c>
      <c r="S11" s="178"/>
      <c r="T11" s="179"/>
      <c r="U11" s="197" t="s">
        <v>369</v>
      </c>
      <c r="V11" s="196"/>
      <c r="W11" s="196"/>
      <c r="X11" s="196"/>
      <c r="Y11" s="198"/>
      <c r="Z11" s="197" t="s">
        <v>399</v>
      </c>
      <c r="AA11" s="198"/>
      <c r="AB11" s="197" t="s">
        <v>378</v>
      </c>
      <c r="AC11" s="196"/>
      <c r="AD11" s="196"/>
      <c r="AE11" s="198"/>
      <c r="AF11" s="177" t="s">
        <v>403</v>
      </c>
      <c r="AG11" s="178"/>
      <c r="AH11" s="179"/>
      <c r="AI11" s="178" t="s">
        <v>390</v>
      </c>
      <c r="AJ11" s="178"/>
      <c r="AK11" s="178"/>
      <c r="AL11" s="178"/>
      <c r="AM11" s="178"/>
      <c r="AN11" s="178"/>
      <c r="AO11" s="179"/>
      <c r="AP11" s="177" t="s">
        <v>414</v>
      </c>
      <c r="AQ11" s="178"/>
      <c r="AR11" s="179"/>
      <c r="AS11" s="177" t="s">
        <v>391</v>
      </c>
      <c r="AT11" s="178"/>
      <c r="AU11" s="209"/>
    </row>
    <row r="12" spans="2:47" ht="25" customHeight="1" thickBot="1" x14ac:dyDescent="0.9">
      <c r="E12" s="189"/>
      <c r="F12" s="110"/>
      <c r="H12" s="203"/>
      <c r="I12" s="171"/>
      <c r="J12" s="171"/>
      <c r="K12" s="173"/>
      <c r="L12" s="170"/>
      <c r="M12" s="171"/>
      <c r="N12" s="173"/>
      <c r="O12" s="170"/>
      <c r="P12" s="171"/>
      <c r="Q12" s="173"/>
      <c r="R12" s="170"/>
      <c r="S12" s="171"/>
      <c r="T12" s="173"/>
      <c r="U12" s="183"/>
      <c r="V12" s="184"/>
      <c r="W12" s="184"/>
      <c r="X12" s="184"/>
      <c r="Y12" s="187"/>
      <c r="Z12" s="199"/>
      <c r="AA12" s="201"/>
      <c r="AB12" s="183"/>
      <c r="AC12" s="184"/>
      <c r="AD12" s="184"/>
      <c r="AE12" s="187"/>
      <c r="AF12" s="170"/>
      <c r="AG12" s="171"/>
      <c r="AH12" s="173"/>
      <c r="AI12" s="171"/>
      <c r="AJ12" s="171"/>
      <c r="AK12" s="171"/>
      <c r="AL12" s="171"/>
      <c r="AM12" s="171"/>
      <c r="AN12" s="171"/>
      <c r="AO12" s="173"/>
      <c r="AP12" s="170"/>
      <c r="AQ12" s="171"/>
      <c r="AR12" s="173"/>
      <c r="AS12" s="170"/>
      <c r="AT12" s="171"/>
      <c r="AU12" s="210"/>
    </row>
    <row r="13" spans="2:47" ht="25" customHeight="1" thickBot="1" x14ac:dyDescent="0.9">
      <c r="E13" s="189"/>
      <c r="F13" s="110"/>
      <c r="H13" s="206"/>
      <c r="I13" s="181"/>
      <c r="J13" s="181"/>
      <c r="K13" s="182"/>
      <c r="L13" s="180"/>
      <c r="M13" s="181"/>
      <c r="N13" s="182"/>
      <c r="O13" s="180"/>
      <c r="P13" s="181"/>
      <c r="Q13" s="182"/>
      <c r="R13" s="180"/>
      <c r="S13" s="181"/>
      <c r="T13" s="182"/>
      <c r="U13" s="183"/>
      <c r="V13" s="184"/>
      <c r="W13" s="184"/>
      <c r="X13" s="184"/>
      <c r="Y13" s="187"/>
      <c r="Z13" s="170" t="s">
        <v>438</v>
      </c>
      <c r="AA13" s="173"/>
      <c r="AB13" s="168" t="s">
        <v>364</v>
      </c>
      <c r="AC13" s="172"/>
      <c r="AD13" s="170"/>
      <c r="AE13" s="173"/>
      <c r="AF13" s="181"/>
      <c r="AG13" s="181"/>
      <c r="AH13" s="182"/>
      <c r="AI13" s="181"/>
      <c r="AJ13" s="181"/>
      <c r="AK13" s="181"/>
      <c r="AL13" s="181"/>
      <c r="AM13" s="181"/>
      <c r="AN13" s="181"/>
      <c r="AO13" s="182"/>
      <c r="AP13" s="180"/>
      <c r="AQ13" s="181"/>
      <c r="AR13" s="182"/>
      <c r="AS13" s="170"/>
      <c r="AT13" s="171"/>
      <c r="AU13" s="210"/>
    </row>
    <row r="14" spans="2:47" ht="25" customHeight="1" thickBot="1" x14ac:dyDescent="0.9">
      <c r="E14" s="189"/>
      <c r="F14" s="110"/>
      <c r="H14" s="202" t="s">
        <v>372</v>
      </c>
      <c r="I14" s="169"/>
      <c r="J14" s="172"/>
      <c r="K14" s="168" t="s">
        <v>406</v>
      </c>
      <c r="L14" s="169"/>
      <c r="M14" s="169"/>
      <c r="N14" s="169"/>
      <c r="O14" s="169"/>
      <c r="P14" s="169"/>
      <c r="Q14" s="169"/>
      <c r="R14" s="169"/>
      <c r="S14" s="168" t="s">
        <v>376</v>
      </c>
      <c r="T14" s="172"/>
      <c r="U14" s="183"/>
      <c r="V14" s="184"/>
      <c r="W14" s="184"/>
      <c r="X14" s="184"/>
      <c r="Y14" s="187"/>
      <c r="Z14" s="180"/>
      <c r="AA14" s="182"/>
      <c r="AB14" s="180"/>
      <c r="AC14" s="182"/>
      <c r="AD14" s="180"/>
      <c r="AE14" s="182"/>
      <c r="AF14" s="168"/>
      <c r="AG14" s="169"/>
      <c r="AH14" s="171" t="s">
        <v>379</v>
      </c>
      <c r="AI14" s="171"/>
      <c r="AJ14" s="171"/>
      <c r="AK14" s="171"/>
      <c r="AL14" s="171"/>
      <c r="AM14" s="171"/>
      <c r="AN14" s="171"/>
      <c r="AO14" s="171"/>
      <c r="AP14" s="171"/>
      <c r="AQ14" s="171"/>
      <c r="AR14" s="171"/>
      <c r="AS14" s="180"/>
      <c r="AT14" s="181"/>
      <c r="AU14" s="211"/>
    </row>
    <row r="15" spans="2:47" ht="25" customHeight="1" thickBot="1" x14ac:dyDescent="0.9">
      <c r="E15" s="189"/>
      <c r="F15" s="110"/>
      <c r="H15" s="206"/>
      <c r="I15" s="181"/>
      <c r="J15" s="182"/>
      <c r="K15" s="170"/>
      <c r="L15" s="171"/>
      <c r="M15" s="171"/>
      <c r="N15" s="171"/>
      <c r="O15" s="171"/>
      <c r="P15" s="171"/>
      <c r="Q15" s="171"/>
      <c r="R15" s="171"/>
      <c r="S15" s="170"/>
      <c r="T15" s="173"/>
      <c r="U15" s="183"/>
      <c r="V15" s="184"/>
      <c r="W15" s="184"/>
      <c r="X15" s="184"/>
      <c r="Y15" s="187"/>
      <c r="Z15" s="169" t="s">
        <v>368</v>
      </c>
      <c r="AA15" s="169"/>
      <c r="AB15" s="169"/>
      <c r="AC15" s="169"/>
      <c r="AD15" s="171"/>
      <c r="AE15" s="171"/>
      <c r="AF15" s="171"/>
      <c r="AG15" s="171"/>
      <c r="AH15" s="171"/>
      <c r="AI15" s="171"/>
      <c r="AJ15" s="171"/>
      <c r="AK15" s="171"/>
      <c r="AL15" s="171"/>
      <c r="AM15" s="171"/>
      <c r="AN15" s="171"/>
      <c r="AO15" s="171"/>
      <c r="AP15" s="171"/>
      <c r="AQ15" s="171"/>
      <c r="AR15" s="171"/>
      <c r="AS15" s="168" t="s">
        <v>392</v>
      </c>
      <c r="AT15" s="169"/>
      <c r="AU15" s="212"/>
    </row>
    <row r="16" spans="2:47" ht="25" customHeight="1" thickBot="1" x14ac:dyDescent="0.9">
      <c r="E16" s="189"/>
      <c r="F16" s="110"/>
      <c r="H16" s="202" t="s">
        <v>370</v>
      </c>
      <c r="I16" s="169"/>
      <c r="J16" s="172"/>
      <c r="K16" s="170"/>
      <c r="L16" s="171"/>
      <c r="M16" s="171"/>
      <c r="N16" s="171"/>
      <c r="O16" s="171"/>
      <c r="P16" s="171"/>
      <c r="Q16" s="171"/>
      <c r="R16" s="171"/>
      <c r="S16" s="174"/>
      <c r="T16" s="175"/>
      <c r="U16" s="199"/>
      <c r="V16" s="200"/>
      <c r="W16" s="200"/>
      <c r="X16" s="200"/>
      <c r="Y16" s="201"/>
      <c r="Z16" s="171"/>
      <c r="AA16" s="171"/>
      <c r="AB16" s="171"/>
      <c r="AC16" s="171"/>
      <c r="AD16" s="181"/>
      <c r="AE16" s="181"/>
      <c r="AF16" s="181"/>
      <c r="AG16" s="181"/>
      <c r="AH16" s="171"/>
      <c r="AI16" s="171"/>
      <c r="AJ16" s="171"/>
      <c r="AK16" s="171"/>
      <c r="AL16" s="171"/>
      <c r="AM16" s="171"/>
      <c r="AN16" s="171"/>
      <c r="AO16" s="171"/>
      <c r="AP16" s="171"/>
      <c r="AQ16" s="171"/>
      <c r="AR16" s="171"/>
      <c r="AS16" s="170"/>
      <c r="AT16" s="171"/>
      <c r="AU16" s="210"/>
    </row>
    <row r="17" spans="5:47" ht="25" customHeight="1" thickTop="1" thickBot="1" x14ac:dyDescent="0.9">
      <c r="E17" s="189"/>
      <c r="F17" s="110"/>
      <c r="H17" s="203"/>
      <c r="I17" s="171"/>
      <c r="J17" s="173"/>
      <c r="K17" s="170"/>
      <c r="L17" s="171"/>
      <c r="M17" s="171"/>
      <c r="N17" s="171"/>
      <c r="O17" s="171"/>
      <c r="P17" s="171"/>
      <c r="Q17" s="171"/>
      <c r="R17" s="171"/>
      <c r="S17" s="119"/>
      <c r="T17" s="119"/>
      <c r="U17" s="207"/>
      <c r="V17" s="207"/>
      <c r="W17" s="207"/>
      <c r="X17" s="207"/>
      <c r="Y17" s="207"/>
      <c r="Z17" s="171"/>
      <c r="AA17" s="171"/>
      <c r="AB17" s="171"/>
      <c r="AC17" s="171"/>
      <c r="AD17" s="214" t="s">
        <v>380</v>
      </c>
      <c r="AE17" s="214"/>
      <c r="AF17" s="214" t="s">
        <v>381</v>
      </c>
      <c r="AG17" s="214"/>
      <c r="AH17" s="171"/>
      <c r="AI17" s="171"/>
      <c r="AJ17" s="171"/>
      <c r="AK17" s="171"/>
      <c r="AL17" s="171"/>
      <c r="AM17" s="171"/>
      <c r="AN17" s="171"/>
      <c r="AO17" s="171"/>
      <c r="AP17" s="171"/>
      <c r="AQ17" s="171"/>
      <c r="AR17" s="171"/>
      <c r="AS17" s="170"/>
      <c r="AT17" s="171"/>
      <c r="AU17" s="210"/>
    </row>
    <row r="18" spans="5:47" ht="25" customHeight="1" thickTop="1" x14ac:dyDescent="0.85">
      <c r="E18" s="189"/>
      <c r="F18" s="110"/>
      <c r="H18" s="203"/>
      <c r="I18" s="171"/>
      <c r="J18" s="173"/>
      <c r="K18" s="168" t="s">
        <v>375</v>
      </c>
      <c r="L18" s="169"/>
      <c r="M18" s="172"/>
      <c r="N18" s="183"/>
      <c r="O18" s="184"/>
      <c r="P18" s="184"/>
      <c r="Q18" s="185"/>
      <c r="R18" s="186"/>
      <c r="S18" s="177" t="s">
        <v>412</v>
      </c>
      <c r="T18" s="178"/>
      <c r="U18" s="179"/>
      <c r="V18" s="169" t="s">
        <v>290</v>
      </c>
      <c r="W18" s="169"/>
      <c r="X18" s="169"/>
      <c r="Y18" s="172"/>
      <c r="Z18" s="171"/>
      <c r="AA18" s="171"/>
      <c r="AB18" s="171"/>
      <c r="AC18" s="171"/>
      <c r="AD18" s="215"/>
      <c r="AE18" s="215"/>
      <c r="AF18" s="215"/>
      <c r="AG18" s="215"/>
      <c r="AH18" s="168" t="s">
        <v>394</v>
      </c>
      <c r="AI18" s="169"/>
      <c r="AJ18" s="172"/>
      <c r="AK18" s="168" t="s">
        <v>393</v>
      </c>
      <c r="AL18" s="169"/>
      <c r="AM18" s="172"/>
      <c r="AN18" s="168" t="s">
        <v>395</v>
      </c>
      <c r="AO18" s="169"/>
      <c r="AP18" s="169"/>
      <c r="AQ18" s="169"/>
      <c r="AR18" s="172"/>
      <c r="AS18" s="170"/>
      <c r="AT18" s="171"/>
      <c r="AU18" s="210"/>
    </row>
    <row r="19" spans="5:47" ht="25" customHeight="1" thickBot="1" x14ac:dyDescent="0.9">
      <c r="E19" s="189"/>
      <c r="F19" s="110"/>
      <c r="H19" s="203"/>
      <c r="I19" s="171"/>
      <c r="J19" s="173"/>
      <c r="K19" s="170"/>
      <c r="L19" s="171"/>
      <c r="M19" s="173"/>
      <c r="N19" s="170" t="s">
        <v>377</v>
      </c>
      <c r="O19" s="171"/>
      <c r="P19" s="171"/>
      <c r="Q19" s="171"/>
      <c r="R19" s="173"/>
      <c r="S19" s="170"/>
      <c r="T19" s="171"/>
      <c r="U19" s="173"/>
      <c r="V19" s="171"/>
      <c r="W19" s="171"/>
      <c r="X19" s="171"/>
      <c r="Y19" s="173"/>
      <c r="Z19" s="171"/>
      <c r="AA19" s="171"/>
      <c r="AB19" s="171"/>
      <c r="AC19" s="171"/>
      <c r="AD19" s="215"/>
      <c r="AE19" s="215"/>
      <c r="AF19" s="215"/>
      <c r="AG19" s="215"/>
      <c r="AH19" s="170"/>
      <c r="AI19" s="171"/>
      <c r="AJ19" s="173"/>
      <c r="AK19" s="170"/>
      <c r="AL19" s="171"/>
      <c r="AM19" s="173"/>
      <c r="AN19" s="170"/>
      <c r="AO19" s="171"/>
      <c r="AP19" s="171"/>
      <c r="AQ19" s="171"/>
      <c r="AR19" s="173"/>
      <c r="AS19" s="170"/>
      <c r="AT19" s="171"/>
      <c r="AU19" s="210"/>
    </row>
    <row r="20" spans="5:47" ht="25" customHeight="1" thickTop="1" thickBot="1" x14ac:dyDescent="0.9">
      <c r="E20" s="190"/>
      <c r="F20" s="118"/>
      <c r="H20" s="204"/>
      <c r="I20" s="176"/>
      <c r="J20" s="175"/>
      <c r="K20" s="174"/>
      <c r="L20" s="176"/>
      <c r="M20" s="175"/>
      <c r="N20" s="174"/>
      <c r="O20" s="176"/>
      <c r="P20" s="176"/>
      <c r="Q20" s="176"/>
      <c r="R20" s="175"/>
      <c r="S20" s="180"/>
      <c r="T20" s="181"/>
      <c r="U20" s="182"/>
      <c r="V20" s="176"/>
      <c r="W20" s="176"/>
      <c r="X20" s="176"/>
      <c r="Y20" s="120"/>
      <c r="Z20" s="196"/>
      <c r="AA20" s="196"/>
      <c r="AB20" s="204"/>
      <c r="AC20" s="175"/>
      <c r="AD20" s="216"/>
      <c r="AE20" s="216"/>
      <c r="AF20" s="216"/>
      <c r="AG20" s="216"/>
      <c r="AH20" s="174"/>
      <c r="AI20" s="176"/>
      <c r="AJ20" s="175"/>
      <c r="AK20" s="174"/>
      <c r="AL20" s="176"/>
      <c r="AM20" s="175"/>
      <c r="AN20" s="174"/>
      <c r="AO20" s="176"/>
      <c r="AP20" s="176"/>
      <c r="AQ20" s="176"/>
      <c r="AR20" s="175"/>
      <c r="AS20" s="174"/>
      <c r="AT20" s="176"/>
      <c r="AU20" s="213"/>
    </row>
    <row r="21" spans="5:47" ht="25" customHeight="1" x14ac:dyDescent="0.85">
      <c r="Y21" s="191" t="s">
        <v>367</v>
      </c>
      <c r="Z21" s="171"/>
      <c r="AA21" s="171"/>
      <c r="AB21" s="171"/>
      <c r="AC21" s="171"/>
      <c r="AD21" s="192"/>
    </row>
    <row r="22" spans="5:47" ht="25" customHeight="1" thickBot="1" x14ac:dyDescent="0.9">
      <c r="H22" s="113" t="s">
        <v>404</v>
      </c>
      <c r="M22" s="113" t="s">
        <v>423</v>
      </c>
      <c r="Y22" s="193"/>
      <c r="Z22" s="194"/>
      <c r="AA22" s="194"/>
      <c r="AB22" s="194"/>
      <c r="AC22" s="194"/>
      <c r="AD22" s="195"/>
    </row>
    <row r="23" spans="5:47" ht="25" customHeight="1" x14ac:dyDescent="0.85">
      <c r="M23" s="113" t="s">
        <v>416</v>
      </c>
      <c r="V23" s="113" t="s">
        <v>471</v>
      </c>
      <c r="AE23" s="113" t="s">
        <v>473</v>
      </c>
      <c r="AN23" s="113" t="s">
        <v>469</v>
      </c>
    </row>
    <row r="24" spans="5:47" ht="25" customHeight="1" x14ac:dyDescent="0.85">
      <c r="H24" s="121" t="s">
        <v>413</v>
      </c>
      <c r="M24" s="113" t="s">
        <v>415</v>
      </c>
      <c r="V24" s="113" t="s">
        <v>470</v>
      </c>
      <c r="AE24" s="113" t="s">
        <v>474</v>
      </c>
      <c r="AN24" s="113" t="s">
        <v>290</v>
      </c>
    </row>
    <row r="25" spans="5:47" ht="25" customHeight="1" x14ac:dyDescent="0.85">
      <c r="M25" s="113" t="s">
        <v>417</v>
      </c>
      <c r="V25" s="113" t="s">
        <v>475</v>
      </c>
      <c r="AE25" s="113" t="s">
        <v>476</v>
      </c>
    </row>
    <row r="26" spans="5:47" ht="25" customHeight="1" x14ac:dyDescent="0.85">
      <c r="M26" s="113" t="s">
        <v>418</v>
      </c>
      <c r="V26" s="113" t="s">
        <v>472</v>
      </c>
      <c r="AE26" s="113" t="s">
        <v>477</v>
      </c>
    </row>
    <row r="28" spans="5:47" ht="25" customHeight="1" x14ac:dyDescent="0.85">
      <c r="H28" s="183" t="str">
        <f>COUNTBLANK(H27:AU27)*5&amp;" feet"</f>
        <v>200 feet</v>
      </c>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7"/>
    </row>
    <row r="29" spans="5:47" ht="25" customHeight="1" x14ac:dyDescent="0.85">
      <c r="H29" s="111"/>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2"/>
    </row>
    <row r="30" spans="5:47" ht="25" customHeight="1" thickBot="1" x14ac:dyDescent="0.9"/>
    <row r="31" spans="5:47" ht="25" customHeight="1" thickTop="1" thickBot="1" x14ac:dyDescent="0.9">
      <c r="E31" s="188" t="str">
        <f>COUNTBLANK(D31:D40)*5&amp;" feet"</f>
        <v>50 feet</v>
      </c>
      <c r="F31" s="117"/>
      <c r="H31" s="205" t="s">
        <v>382</v>
      </c>
      <c r="I31" s="178"/>
      <c r="J31" s="178"/>
      <c r="K31" s="179"/>
      <c r="L31" s="177" t="s">
        <v>385</v>
      </c>
      <c r="M31" s="178"/>
      <c r="N31" s="178"/>
      <c r="O31" s="179"/>
      <c r="P31" s="177" t="s">
        <v>388</v>
      </c>
      <c r="Q31" s="178"/>
      <c r="R31" s="179"/>
      <c r="S31" s="177" t="s">
        <v>389</v>
      </c>
      <c r="T31" s="178"/>
      <c r="U31" s="179"/>
      <c r="V31" s="177" t="s">
        <v>387</v>
      </c>
      <c r="W31" s="179"/>
      <c r="X31" s="177" t="s">
        <v>386</v>
      </c>
      <c r="Y31" s="179"/>
      <c r="Z31" s="197"/>
      <c r="AA31" s="229"/>
      <c r="AB31" s="226" t="s">
        <v>365</v>
      </c>
      <c r="AC31" s="196"/>
      <c r="AD31" s="196"/>
      <c r="AE31" s="198"/>
      <c r="AF31" s="177" t="s">
        <v>408</v>
      </c>
      <c r="AG31" s="178"/>
      <c r="AH31" s="179"/>
      <c r="AI31" s="178" t="s">
        <v>424</v>
      </c>
      <c r="AJ31" s="178"/>
      <c r="AK31" s="178"/>
      <c r="AL31" s="178"/>
      <c r="AM31" s="178"/>
      <c r="AN31" s="178"/>
      <c r="AO31" s="178"/>
      <c r="AP31" s="178"/>
      <c r="AQ31" s="178"/>
      <c r="AR31" s="179"/>
      <c r="AS31" s="217" t="s">
        <v>396</v>
      </c>
      <c r="AT31" s="218"/>
      <c r="AU31" s="219"/>
    </row>
    <row r="32" spans="5:47" ht="25" customHeight="1" thickBot="1" x14ac:dyDescent="0.9">
      <c r="E32" s="189"/>
      <c r="F32" s="110"/>
      <c r="H32" s="203"/>
      <c r="I32" s="171"/>
      <c r="J32" s="171"/>
      <c r="K32" s="173"/>
      <c r="L32" s="170"/>
      <c r="M32" s="171"/>
      <c r="N32" s="171"/>
      <c r="O32" s="173"/>
      <c r="P32" s="170"/>
      <c r="Q32" s="171"/>
      <c r="R32" s="173"/>
      <c r="S32" s="170"/>
      <c r="T32" s="171"/>
      <c r="U32" s="173"/>
      <c r="V32" s="170"/>
      <c r="W32" s="173"/>
      <c r="X32" s="180"/>
      <c r="Y32" s="182"/>
      <c r="Z32" s="183"/>
      <c r="AA32" s="230"/>
      <c r="AB32" s="227"/>
      <c r="AC32" s="184"/>
      <c r="AD32" s="184"/>
      <c r="AE32" s="187"/>
      <c r="AF32" s="170"/>
      <c r="AG32" s="171"/>
      <c r="AH32" s="173"/>
      <c r="AI32" s="171"/>
      <c r="AJ32" s="171"/>
      <c r="AK32" s="171"/>
      <c r="AL32" s="171"/>
      <c r="AM32" s="171"/>
      <c r="AN32" s="171"/>
      <c r="AO32" s="171"/>
      <c r="AP32" s="171"/>
      <c r="AQ32" s="171"/>
      <c r="AR32" s="173"/>
      <c r="AS32" s="220"/>
      <c r="AT32" s="221"/>
      <c r="AU32" s="222"/>
    </row>
    <row r="33" spans="5:47" ht="25" customHeight="1" thickBot="1" x14ac:dyDescent="0.9">
      <c r="E33" s="189"/>
      <c r="F33" s="110"/>
      <c r="H33" s="203"/>
      <c r="I33" s="171"/>
      <c r="J33" s="171"/>
      <c r="K33" s="173"/>
      <c r="L33" s="170"/>
      <c r="M33" s="171"/>
      <c r="N33" s="171"/>
      <c r="O33" s="173"/>
      <c r="P33" s="170"/>
      <c r="Q33" s="171"/>
      <c r="R33" s="173"/>
      <c r="S33" s="180"/>
      <c r="T33" s="181"/>
      <c r="U33" s="182"/>
      <c r="V33" s="180"/>
      <c r="W33" s="182"/>
      <c r="X33" s="184"/>
      <c r="Y33" s="184"/>
      <c r="Z33" s="184"/>
      <c r="AA33" s="184"/>
      <c r="AB33" s="168" t="s">
        <v>364</v>
      </c>
      <c r="AC33" s="172"/>
      <c r="AD33" s="170"/>
      <c r="AE33" s="173"/>
      <c r="AF33" s="170"/>
      <c r="AG33" s="171"/>
      <c r="AH33" s="173"/>
      <c r="AI33" s="171"/>
      <c r="AJ33" s="171"/>
      <c r="AK33" s="171"/>
      <c r="AL33" s="171"/>
      <c r="AM33" s="171"/>
      <c r="AN33" s="171"/>
      <c r="AO33" s="171"/>
      <c r="AP33" s="171"/>
      <c r="AQ33" s="171"/>
      <c r="AR33" s="173"/>
      <c r="AS33" s="220"/>
      <c r="AT33" s="221"/>
      <c r="AU33" s="222"/>
    </row>
    <row r="34" spans="5:47" ht="25" customHeight="1" thickBot="1" x14ac:dyDescent="0.9">
      <c r="E34" s="189"/>
      <c r="F34" s="110"/>
      <c r="H34" s="203"/>
      <c r="I34" s="171"/>
      <c r="J34" s="171"/>
      <c r="K34" s="173"/>
      <c r="L34" s="180"/>
      <c r="M34" s="181"/>
      <c r="N34" s="181"/>
      <c r="O34" s="182"/>
      <c r="P34" s="180"/>
      <c r="Q34" s="181"/>
      <c r="R34" s="182"/>
      <c r="S34" s="111"/>
      <c r="T34" s="110"/>
      <c r="U34" s="110"/>
      <c r="V34" s="110"/>
      <c r="W34" s="110"/>
      <c r="X34" s="184"/>
      <c r="Y34" s="184"/>
      <c r="Z34" s="184"/>
      <c r="AA34" s="184"/>
      <c r="AB34" s="180"/>
      <c r="AC34" s="182"/>
      <c r="AD34" s="180"/>
      <c r="AE34" s="182"/>
      <c r="AF34" s="180"/>
      <c r="AG34" s="181"/>
      <c r="AH34" s="182"/>
      <c r="AI34" s="171"/>
      <c r="AJ34" s="171"/>
      <c r="AK34" s="171"/>
      <c r="AL34" s="171"/>
      <c r="AM34" s="171"/>
      <c r="AN34" s="171"/>
      <c r="AO34" s="171"/>
      <c r="AP34" s="171"/>
      <c r="AQ34" s="171"/>
      <c r="AR34" s="173"/>
      <c r="AS34" s="220"/>
      <c r="AT34" s="221"/>
      <c r="AU34" s="222"/>
    </row>
    <row r="35" spans="5:47" ht="25" customHeight="1" thickBot="1" x14ac:dyDescent="0.9">
      <c r="E35" s="189"/>
      <c r="F35" s="110"/>
      <c r="H35" s="206"/>
      <c r="I35" s="181"/>
      <c r="J35" s="181"/>
      <c r="K35" s="182"/>
      <c r="L35" s="208"/>
      <c r="M35" s="207"/>
      <c r="N35" s="207"/>
      <c r="O35" s="207"/>
      <c r="P35" s="207"/>
      <c r="Q35" s="171" t="s">
        <v>407</v>
      </c>
      <c r="R35" s="171"/>
      <c r="S35" s="171"/>
      <c r="T35" s="171"/>
      <c r="U35" s="171"/>
      <c r="V35" s="171"/>
      <c r="W35" s="171"/>
      <c r="X35" s="184"/>
      <c r="Y35" s="184"/>
      <c r="Z35" s="184"/>
      <c r="AA35" s="184"/>
      <c r="AB35" s="185"/>
      <c r="AC35" s="185"/>
      <c r="AD35" s="185"/>
      <c r="AE35" s="185"/>
      <c r="AF35" s="171"/>
      <c r="AG35" s="171"/>
      <c r="AH35" s="171"/>
      <c r="AI35" s="171"/>
      <c r="AJ35" s="171"/>
      <c r="AK35" s="171"/>
      <c r="AL35" s="171"/>
      <c r="AM35" s="171"/>
      <c r="AN35" s="171"/>
      <c r="AO35" s="171"/>
      <c r="AP35" s="171"/>
      <c r="AQ35" s="171"/>
      <c r="AR35" s="173"/>
      <c r="AS35" s="220" t="s">
        <v>397</v>
      </c>
      <c r="AT35" s="221"/>
      <c r="AU35" s="222"/>
    </row>
    <row r="36" spans="5:47" ht="25" customHeight="1" thickBot="1" x14ac:dyDescent="0.9">
      <c r="E36" s="189"/>
      <c r="F36" s="110"/>
      <c r="H36" s="202" t="s">
        <v>383</v>
      </c>
      <c r="I36" s="169"/>
      <c r="J36" s="169"/>
      <c r="K36" s="169"/>
      <c r="L36" s="172"/>
      <c r="M36" s="168" t="s">
        <v>384</v>
      </c>
      <c r="N36" s="169"/>
      <c r="O36" s="169"/>
      <c r="P36" s="172"/>
      <c r="Q36" s="171"/>
      <c r="R36" s="171"/>
      <c r="S36" s="171"/>
      <c r="T36" s="171"/>
      <c r="U36" s="171"/>
      <c r="V36" s="171"/>
      <c r="W36" s="171"/>
      <c r="X36" s="123"/>
      <c r="Y36" s="181"/>
      <c r="Z36" s="181"/>
      <c r="AA36" s="181"/>
      <c r="AB36" s="181"/>
      <c r="AC36" s="123"/>
      <c r="AD36" s="181"/>
      <c r="AE36" s="181"/>
      <c r="AF36" s="181"/>
      <c r="AG36" s="181"/>
      <c r="AH36" s="181"/>
      <c r="AI36" s="181"/>
      <c r="AJ36" s="181"/>
      <c r="AK36" s="181"/>
      <c r="AL36" s="181"/>
      <c r="AM36" s="181"/>
      <c r="AN36" s="181"/>
      <c r="AO36" s="181"/>
      <c r="AP36" s="181"/>
      <c r="AQ36" s="181"/>
      <c r="AR36" s="182"/>
      <c r="AS36" s="220"/>
      <c r="AT36" s="221"/>
      <c r="AU36" s="222"/>
    </row>
    <row r="37" spans="5:47" ht="25" customHeight="1" thickBot="1" x14ac:dyDescent="0.9">
      <c r="E37" s="189"/>
      <c r="F37" s="110"/>
      <c r="H37" s="203"/>
      <c r="I37" s="171"/>
      <c r="J37" s="171"/>
      <c r="K37" s="171"/>
      <c r="L37" s="173"/>
      <c r="M37" s="170"/>
      <c r="N37" s="171"/>
      <c r="O37" s="171"/>
      <c r="P37" s="173"/>
      <c r="Q37" s="171"/>
      <c r="R37" s="171"/>
      <c r="S37" s="171"/>
      <c r="T37" s="171"/>
      <c r="U37" s="171"/>
      <c r="V37" s="171"/>
      <c r="W37" s="171"/>
      <c r="X37" s="170" t="s">
        <v>366</v>
      </c>
      <c r="Y37" s="171"/>
      <c r="Z37" s="171"/>
      <c r="AA37" s="171"/>
      <c r="AB37" s="171"/>
      <c r="AC37" s="173"/>
      <c r="AD37" s="168" t="s">
        <v>380</v>
      </c>
      <c r="AE37" s="169"/>
      <c r="AF37" s="172"/>
      <c r="AG37" s="168" t="s">
        <v>381</v>
      </c>
      <c r="AH37" s="169"/>
      <c r="AI37" s="172"/>
      <c r="AJ37" s="168" t="s">
        <v>400</v>
      </c>
      <c r="AK37" s="169"/>
      <c r="AL37" s="172"/>
      <c r="AM37" s="168" t="s">
        <v>402</v>
      </c>
      <c r="AN37" s="169"/>
      <c r="AO37" s="172"/>
      <c r="AP37" s="168" t="s">
        <v>401</v>
      </c>
      <c r="AQ37" s="169"/>
      <c r="AR37" s="169"/>
      <c r="AS37" s="220"/>
      <c r="AT37" s="221"/>
      <c r="AU37" s="222"/>
    </row>
    <row r="38" spans="5:47" ht="25" customHeight="1" thickBot="1" x14ac:dyDescent="0.9">
      <c r="E38" s="189"/>
      <c r="F38" s="110"/>
      <c r="H38" s="203"/>
      <c r="I38" s="171"/>
      <c r="J38" s="171"/>
      <c r="K38" s="171"/>
      <c r="L38" s="173"/>
      <c r="M38" s="170"/>
      <c r="N38" s="171"/>
      <c r="O38" s="171"/>
      <c r="P38" s="173"/>
      <c r="Q38" s="184"/>
      <c r="R38" s="184"/>
      <c r="S38" s="184"/>
      <c r="T38" s="185"/>
      <c r="U38" s="186"/>
      <c r="V38" s="168" t="s">
        <v>376</v>
      </c>
      <c r="W38" s="169"/>
      <c r="X38" s="170"/>
      <c r="Y38" s="171"/>
      <c r="Z38" s="171"/>
      <c r="AA38" s="171"/>
      <c r="AB38" s="171"/>
      <c r="AC38" s="173"/>
      <c r="AD38" s="170"/>
      <c r="AE38" s="171"/>
      <c r="AF38" s="173"/>
      <c r="AG38" s="170"/>
      <c r="AH38" s="171"/>
      <c r="AI38" s="173"/>
      <c r="AJ38" s="170"/>
      <c r="AK38" s="171"/>
      <c r="AL38" s="173"/>
      <c r="AM38" s="170"/>
      <c r="AN38" s="171"/>
      <c r="AO38" s="173"/>
      <c r="AP38" s="170"/>
      <c r="AQ38" s="171"/>
      <c r="AR38" s="171"/>
      <c r="AS38" s="220"/>
      <c r="AT38" s="221"/>
      <c r="AU38" s="222"/>
    </row>
    <row r="39" spans="5:47" ht="25" customHeight="1" thickBot="1" x14ac:dyDescent="0.9">
      <c r="E39" s="189"/>
      <c r="F39" s="110"/>
      <c r="H39" s="203"/>
      <c r="I39" s="171"/>
      <c r="J39" s="171"/>
      <c r="K39" s="171"/>
      <c r="L39" s="173"/>
      <c r="M39" s="170"/>
      <c r="N39" s="171"/>
      <c r="O39" s="171"/>
      <c r="P39" s="173"/>
      <c r="Q39" s="171" t="s">
        <v>377</v>
      </c>
      <c r="R39" s="171"/>
      <c r="S39" s="171"/>
      <c r="T39" s="171"/>
      <c r="U39" s="173"/>
      <c r="V39" s="170"/>
      <c r="W39" s="171"/>
      <c r="X39" s="170"/>
      <c r="Y39" s="171"/>
      <c r="Z39" s="171"/>
      <c r="AA39" s="171"/>
      <c r="AB39" s="171"/>
      <c r="AC39" s="173"/>
      <c r="AD39" s="170"/>
      <c r="AE39" s="171"/>
      <c r="AF39" s="173"/>
      <c r="AG39" s="170"/>
      <c r="AH39" s="171"/>
      <c r="AI39" s="173"/>
      <c r="AJ39" s="170"/>
      <c r="AK39" s="171"/>
      <c r="AL39" s="173"/>
      <c r="AM39" s="170"/>
      <c r="AN39" s="171"/>
      <c r="AO39" s="173"/>
      <c r="AP39" s="170"/>
      <c r="AQ39" s="171"/>
      <c r="AR39" s="171"/>
      <c r="AS39" s="220"/>
      <c r="AT39" s="221"/>
      <c r="AU39" s="222"/>
    </row>
    <row r="40" spans="5:47" ht="25" customHeight="1" thickBot="1" x14ac:dyDescent="0.9">
      <c r="E40" s="190"/>
      <c r="F40" s="118"/>
      <c r="H40" s="204"/>
      <c r="I40" s="176"/>
      <c r="J40" s="176"/>
      <c r="K40" s="176"/>
      <c r="L40" s="175"/>
      <c r="M40" s="174"/>
      <c r="N40" s="176"/>
      <c r="O40" s="176"/>
      <c r="P40" s="175"/>
      <c r="Q40" s="176"/>
      <c r="R40" s="176"/>
      <c r="S40" s="176"/>
      <c r="T40" s="176"/>
      <c r="U40" s="175"/>
      <c r="V40" s="174"/>
      <c r="W40" s="176"/>
      <c r="X40" s="174"/>
      <c r="Y40" s="176"/>
      <c r="Z40" s="176"/>
      <c r="AA40" s="176"/>
      <c r="AB40" s="176"/>
      <c r="AC40" s="175"/>
      <c r="AD40" s="174"/>
      <c r="AE40" s="176"/>
      <c r="AF40" s="175"/>
      <c r="AG40" s="174"/>
      <c r="AH40" s="176"/>
      <c r="AI40" s="175"/>
      <c r="AJ40" s="174"/>
      <c r="AK40" s="176"/>
      <c r="AL40" s="175"/>
      <c r="AM40" s="174"/>
      <c r="AN40" s="176"/>
      <c r="AO40" s="175"/>
      <c r="AP40" s="174"/>
      <c r="AQ40" s="176"/>
      <c r="AR40" s="176"/>
      <c r="AS40" s="223"/>
      <c r="AT40" s="224"/>
      <c r="AU40" s="225"/>
    </row>
    <row r="42" spans="5:47" ht="25" customHeight="1" x14ac:dyDescent="0.85">
      <c r="H42" s="113" t="s">
        <v>405</v>
      </c>
      <c r="M42" s="113" t="s">
        <v>423</v>
      </c>
    </row>
    <row r="43" spans="5:47" ht="25" customHeight="1" x14ac:dyDescent="0.85">
      <c r="M43" s="113" t="s">
        <v>419</v>
      </c>
      <c r="W43" s="113" t="s">
        <v>482</v>
      </c>
      <c r="AF43" s="113" t="s">
        <v>483</v>
      </c>
      <c r="AO43" s="113" t="s">
        <v>469</v>
      </c>
    </row>
    <row r="44" spans="5:47" ht="25" customHeight="1" x14ac:dyDescent="0.85">
      <c r="M44" s="113" t="s">
        <v>420</v>
      </c>
      <c r="W44" s="113" t="s">
        <v>484</v>
      </c>
      <c r="AF44" s="113" t="s">
        <v>485</v>
      </c>
      <c r="AO44" s="113" t="s">
        <v>290</v>
      </c>
    </row>
    <row r="45" spans="5:47" ht="25" customHeight="1" x14ac:dyDescent="0.85">
      <c r="M45" s="113" t="s">
        <v>421</v>
      </c>
      <c r="W45" s="113" t="s">
        <v>486</v>
      </c>
      <c r="AF45" s="113" t="s">
        <v>487</v>
      </c>
    </row>
    <row r="46" spans="5:47" ht="25" customHeight="1" x14ac:dyDescent="0.85">
      <c r="M46" s="113" t="s">
        <v>422</v>
      </c>
      <c r="W46" s="113" t="s">
        <v>488</v>
      </c>
      <c r="AF46" s="113" t="s">
        <v>489</v>
      </c>
    </row>
  </sheetData>
  <mergeCells count="76">
    <mergeCell ref="H8:AU8"/>
    <mergeCell ref="E11:E20"/>
    <mergeCell ref="H11:K13"/>
    <mergeCell ref="L11:N13"/>
    <mergeCell ref="O11:Q13"/>
    <mergeCell ref="R11:T13"/>
    <mergeCell ref="U11:Y16"/>
    <mergeCell ref="Z11:AA12"/>
    <mergeCell ref="AB11:AE12"/>
    <mergeCell ref="AF11:AH13"/>
    <mergeCell ref="AI11:AO13"/>
    <mergeCell ref="AP11:AR13"/>
    <mergeCell ref="AS11:AU14"/>
    <mergeCell ref="Z13:AA14"/>
    <mergeCell ref="AB13:AC14"/>
    <mergeCell ref="AD13:AE14"/>
    <mergeCell ref="AH14:AR17"/>
    <mergeCell ref="Z15:AC19"/>
    <mergeCell ref="AD15:AG16"/>
    <mergeCell ref="AH18:AJ20"/>
    <mergeCell ref="AK18:AM20"/>
    <mergeCell ref="AN18:AR20"/>
    <mergeCell ref="Z20:AA20"/>
    <mergeCell ref="AB20:AC20"/>
    <mergeCell ref="Y21:AD22"/>
    <mergeCell ref="H28:AU28"/>
    <mergeCell ref="AS15:AU20"/>
    <mergeCell ref="H16:J20"/>
    <mergeCell ref="U17:Y17"/>
    <mergeCell ref="AD17:AE20"/>
    <mergeCell ref="AF17:AG20"/>
    <mergeCell ref="K18:M20"/>
    <mergeCell ref="N18:P18"/>
    <mergeCell ref="Q18:R18"/>
    <mergeCell ref="S18:U20"/>
    <mergeCell ref="V18:Y19"/>
    <mergeCell ref="H14:J15"/>
    <mergeCell ref="K14:R17"/>
    <mergeCell ref="S14:T16"/>
    <mergeCell ref="AF14:AG14"/>
    <mergeCell ref="V31:W33"/>
    <mergeCell ref="L35:P35"/>
    <mergeCell ref="Q35:W37"/>
    <mergeCell ref="N19:R20"/>
    <mergeCell ref="V20:X20"/>
    <mergeCell ref="E31:E40"/>
    <mergeCell ref="H31:K35"/>
    <mergeCell ref="L31:O34"/>
    <mergeCell ref="P31:R34"/>
    <mergeCell ref="S31:U33"/>
    <mergeCell ref="H36:L40"/>
    <mergeCell ref="M36:P40"/>
    <mergeCell ref="AS31:AU34"/>
    <mergeCell ref="X33:AA35"/>
    <mergeCell ref="AB33:AC34"/>
    <mergeCell ref="AD33:AE34"/>
    <mergeCell ref="AB35:AE35"/>
    <mergeCell ref="X31:Y32"/>
    <mergeCell ref="Z31:AA32"/>
    <mergeCell ref="AB31:AE32"/>
    <mergeCell ref="AF31:AH34"/>
    <mergeCell ref="AI31:AR36"/>
    <mergeCell ref="AF35:AH36"/>
    <mergeCell ref="AS35:AU40"/>
    <mergeCell ref="Y36:AB36"/>
    <mergeCell ref="AD36:AE36"/>
    <mergeCell ref="X37:AC40"/>
    <mergeCell ref="AD37:AF40"/>
    <mergeCell ref="AG37:AI40"/>
    <mergeCell ref="AJ37:AL40"/>
    <mergeCell ref="AM37:AO40"/>
    <mergeCell ref="AP37:AR40"/>
    <mergeCell ref="Q38:S38"/>
    <mergeCell ref="T38:U38"/>
    <mergeCell ref="V38:W40"/>
    <mergeCell ref="Q39:U4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26"/>
  <sheetViews>
    <sheetView workbookViewId="0"/>
  </sheetViews>
  <sheetFormatPr defaultColWidth="8.7890625" defaultRowHeight="18.3" x14ac:dyDescent="0.85"/>
  <cols>
    <col min="1" max="21" width="10.70703125" style="96" customWidth="1"/>
    <col min="22" max="16384" width="8.7890625" style="96"/>
  </cols>
  <sheetData>
    <row r="1" spans="1:21" x14ac:dyDescent="0.85">
      <c r="A1" s="96" t="s">
        <v>346</v>
      </c>
    </row>
    <row r="2" spans="1:21" x14ac:dyDescent="0.85">
      <c r="B2" s="99" t="s">
        <v>345</v>
      </c>
      <c r="C2" s="99">
        <v>3</v>
      </c>
      <c r="D2" s="107" t="s">
        <v>315</v>
      </c>
    </row>
    <row r="3" spans="1:21" x14ac:dyDescent="0.85">
      <c r="B3" s="99" t="s">
        <v>351</v>
      </c>
      <c r="C3" s="99">
        <v>75</v>
      </c>
      <c r="D3" s="107" t="s">
        <v>36</v>
      </c>
    </row>
    <row r="4" spans="1:21" s="108" customFormat="1" x14ac:dyDescent="0.85">
      <c r="A4" s="231" t="s">
        <v>347</v>
      </c>
      <c r="B4" s="231" t="s">
        <v>348</v>
      </c>
      <c r="C4" s="231"/>
      <c r="D4" s="231" t="s">
        <v>352</v>
      </c>
      <c r="E4" s="231"/>
      <c r="F4" s="231" t="s">
        <v>353</v>
      </c>
      <c r="G4" s="231"/>
      <c r="H4" s="231" t="s">
        <v>354</v>
      </c>
      <c r="I4" s="231"/>
      <c r="J4" s="231" t="s">
        <v>355</v>
      </c>
      <c r="K4" s="231"/>
      <c r="L4" s="231" t="s">
        <v>356</v>
      </c>
      <c r="M4" s="231"/>
      <c r="N4" s="231" t="s">
        <v>357</v>
      </c>
      <c r="O4" s="231"/>
      <c r="P4" s="231" t="s">
        <v>358</v>
      </c>
      <c r="Q4" s="231"/>
      <c r="R4" s="231" t="s">
        <v>360</v>
      </c>
      <c r="S4" s="231"/>
      <c r="T4" s="231" t="s">
        <v>359</v>
      </c>
      <c r="U4" s="231"/>
    </row>
    <row r="5" spans="1:21" s="108" customFormat="1" ht="54.9" x14ac:dyDescent="0.85">
      <c r="A5" s="231"/>
      <c r="B5" s="109" t="s">
        <v>349</v>
      </c>
      <c r="C5" s="109" t="s">
        <v>350</v>
      </c>
      <c r="D5" s="109" t="s">
        <v>349</v>
      </c>
      <c r="E5" s="109" t="s">
        <v>350</v>
      </c>
      <c r="F5" s="109" t="s">
        <v>349</v>
      </c>
      <c r="G5" s="109" t="s">
        <v>350</v>
      </c>
      <c r="H5" s="109" t="s">
        <v>349</v>
      </c>
      <c r="I5" s="109" t="s">
        <v>350</v>
      </c>
      <c r="J5" s="109" t="s">
        <v>349</v>
      </c>
      <c r="K5" s="109" t="s">
        <v>350</v>
      </c>
      <c r="L5" s="109" t="s">
        <v>349</v>
      </c>
      <c r="M5" s="109" t="s">
        <v>350</v>
      </c>
      <c r="N5" s="109" t="s">
        <v>349</v>
      </c>
      <c r="O5" s="109" t="s">
        <v>350</v>
      </c>
      <c r="P5" s="109" t="s">
        <v>349</v>
      </c>
      <c r="Q5" s="109" t="s">
        <v>350</v>
      </c>
      <c r="R5" s="109" t="s">
        <v>349</v>
      </c>
      <c r="S5" s="109" t="s">
        <v>350</v>
      </c>
      <c r="T5" s="109" t="s">
        <v>349</v>
      </c>
      <c r="U5" s="109" t="s">
        <v>350</v>
      </c>
    </row>
    <row r="6" spans="1:21" x14ac:dyDescent="0.85">
      <c r="A6" s="105">
        <v>0</v>
      </c>
      <c r="B6" s="105">
        <v>70</v>
      </c>
      <c r="C6" s="105">
        <v>5.97</v>
      </c>
      <c r="D6" s="105">
        <v>90</v>
      </c>
      <c r="E6" s="105">
        <v>20.78</v>
      </c>
      <c r="F6" s="105">
        <v>110</v>
      </c>
      <c r="G6" s="105">
        <v>55.34</v>
      </c>
      <c r="H6" s="105">
        <v>129.9</v>
      </c>
      <c r="I6" s="105">
        <v>94.75</v>
      </c>
      <c r="J6" s="105">
        <v>149.9</v>
      </c>
      <c r="K6" s="105">
        <v>138.19999999999999</v>
      </c>
      <c r="L6" s="105">
        <v>169.9</v>
      </c>
      <c r="M6" s="105">
        <v>185.3</v>
      </c>
      <c r="N6" s="105">
        <v>189.9</v>
      </c>
      <c r="O6" s="105">
        <v>235.9</v>
      </c>
      <c r="P6" s="105">
        <v>209.8</v>
      </c>
      <c r="Q6" s="105">
        <v>289.89999999999998</v>
      </c>
      <c r="R6" s="105">
        <v>279.7</v>
      </c>
      <c r="S6" s="105">
        <v>506.6</v>
      </c>
      <c r="T6" s="105">
        <v>349.5</v>
      </c>
      <c r="U6" s="105">
        <v>768.8</v>
      </c>
    </row>
    <row r="7" spans="1:21" x14ac:dyDescent="0.85">
      <c r="A7" s="105">
        <v>0.5</v>
      </c>
      <c r="B7" s="105">
        <v>73.7</v>
      </c>
      <c r="C7" s="105">
        <v>1.89</v>
      </c>
      <c r="D7" s="105">
        <v>78.7</v>
      </c>
      <c r="E7" s="105">
        <v>5.89</v>
      </c>
      <c r="F7" s="105">
        <v>83.2</v>
      </c>
      <c r="G7" s="105">
        <v>14.28</v>
      </c>
      <c r="H7" s="105">
        <v>87.6</v>
      </c>
      <c r="I7" s="105">
        <v>23.18</v>
      </c>
      <c r="J7" s="105">
        <v>92</v>
      </c>
      <c r="K7" s="105">
        <v>32.56</v>
      </c>
      <c r="L7" s="105">
        <v>96.5</v>
      </c>
      <c r="M7" s="105">
        <v>42.45</v>
      </c>
      <c r="N7" s="105">
        <v>101</v>
      </c>
      <c r="O7" s="105">
        <v>52.88</v>
      </c>
      <c r="P7" s="105">
        <v>105.6</v>
      </c>
      <c r="Q7" s="105">
        <v>63.87</v>
      </c>
      <c r="R7" s="105">
        <v>122.4</v>
      </c>
      <c r="S7" s="105">
        <v>107.2</v>
      </c>
      <c r="T7" s="105">
        <v>140.9</v>
      </c>
      <c r="U7" s="105">
        <v>159.1</v>
      </c>
    </row>
    <row r="8" spans="1:21" x14ac:dyDescent="0.85">
      <c r="A8" s="105">
        <v>1</v>
      </c>
      <c r="B8" s="105">
        <v>74.3</v>
      </c>
      <c r="C8" s="105">
        <v>1.17</v>
      </c>
      <c r="D8" s="105">
        <v>76.900000000000006</v>
      </c>
      <c r="E8" s="105">
        <v>3.62</v>
      </c>
      <c r="F8" s="105">
        <v>79.3</v>
      </c>
      <c r="G8" s="105">
        <v>8.69</v>
      </c>
      <c r="H8" s="105">
        <v>81.7</v>
      </c>
      <c r="I8" s="105">
        <v>14.01</v>
      </c>
      <c r="J8" s="105">
        <v>84.1</v>
      </c>
      <c r="K8" s="105">
        <v>19.61</v>
      </c>
      <c r="L8" s="105">
        <v>86.5</v>
      </c>
      <c r="M8" s="105">
        <v>25.49</v>
      </c>
      <c r="N8" s="105">
        <v>88.9</v>
      </c>
      <c r="O8" s="105">
        <v>31.66</v>
      </c>
      <c r="P8" s="105">
        <v>91.4</v>
      </c>
      <c r="Q8" s="105">
        <v>38.159999999999997</v>
      </c>
      <c r="R8" s="105">
        <v>100.7</v>
      </c>
      <c r="S8" s="105">
        <v>63.65</v>
      </c>
      <c r="T8" s="105">
        <v>110.9</v>
      </c>
      <c r="U8" s="105">
        <v>94.07</v>
      </c>
    </row>
    <row r="9" spans="1:21" x14ac:dyDescent="0.85">
      <c r="A9" s="105">
        <v>1.5</v>
      </c>
      <c r="B9" s="105">
        <v>74.599999999999994</v>
      </c>
      <c r="C9" s="105">
        <v>0.89</v>
      </c>
      <c r="D9" s="105">
        <v>76.3</v>
      </c>
      <c r="E9" s="105">
        <v>2.74</v>
      </c>
      <c r="F9" s="105">
        <v>77.900000000000006</v>
      </c>
      <c r="G9" s="105">
        <v>6.56</v>
      </c>
      <c r="H9" s="105">
        <v>79.5</v>
      </c>
      <c r="I9" s="105">
        <v>10.57</v>
      </c>
      <c r="J9" s="105">
        <v>81</v>
      </c>
      <c r="K9" s="105">
        <v>14.77</v>
      </c>
      <c r="L9" s="105">
        <v>82.7</v>
      </c>
      <c r="M9" s="105">
        <v>19.170000000000002</v>
      </c>
      <c r="N9" s="105">
        <v>84.3</v>
      </c>
      <c r="O9" s="105">
        <v>23.8</v>
      </c>
      <c r="P9" s="105">
        <v>86</v>
      </c>
      <c r="Q9" s="105">
        <v>28.66</v>
      </c>
      <c r="R9" s="105">
        <v>92.3</v>
      </c>
      <c r="S9" s="105">
        <v>47.7</v>
      </c>
      <c r="T9" s="105">
        <v>99.3</v>
      </c>
      <c r="U9" s="105">
        <v>70.38</v>
      </c>
    </row>
    <row r="10" spans="1:21" x14ac:dyDescent="0.85">
      <c r="A10" s="105">
        <v>2</v>
      </c>
      <c r="B10" s="105">
        <v>74.7</v>
      </c>
      <c r="C10" s="105">
        <v>0.75</v>
      </c>
      <c r="D10" s="105">
        <v>76</v>
      </c>
      <c r="E10" s="105">
        <v>2.29</v>
      </c>
      <c r="F10" s="105">
        <v>77.099999999999994</v>
      </c>
      <c r="G10" s="105">
        <v>5.48</v>
      </c>
      <c r="H10" s="105">
        <v>78.3</v>
      </c>
      <c r="I10" s="105">
        <v>8.82</v>
      </c>
      <c r="J10" s="105">
        <v>79.5</v>
      </c>
      <c r="K10" s="105">
        <v>12.31</v>
      </c>
      <c r="L10" s="105">
        <v>80.8</v>
      </c>
      <c r="M10" s="105">
        <v>15.98</v>
      </c>
      <c r="N10" s="105">
        <v>82</v>
      </c>
      <c r="O10" s="105">
        <v>19.82</v>
      </c>
      <c r="P10" s="105">
        <v>83.3</v>
      </c>
      <c r="Q10" s="105">
        <v>23.86</v>
      </c>
      <c r="R10" s="105">
        <v>88</v>
      </c>
      <c r="S10" s="105">
        <v>39.67</v>
      </c>
      <c r="T10" s="105">
        <v>93.4</v>
      </c>
      <c r="U10" s="105">
        <v>58.49</v>
      </c>
    </row>
    <row r="11" spans="1:21" x14ac:dyDescent="0.85">
      <c r="A11" s="105">
        <v>2.5</v>
      </c>
      <c r="B11" s="105">
        <v>74.7</v>
      </c>
      <c r="C11" s="105">
        <v>0.65</v>
      </c>
      <c r="D11" s="105">
        <v>75.7</v>
      </c>
      <c r="E11" s="105">
        <v>2</v>
      </c>
      <c r="F11" s="105">
        <v>76.7</v>
      </c>
      <c r="G11" s="105">
        <v>4.79</v>
      </c>
      <c r="H11" s="105">
        <v>77.599999999999994</v>
      </c>
      <c r="I11" s="105">
        <v>7.7</v>
      </c>
      <c r="J11" s="105">
        <v>78.599999999999994</v>
      </c>
      <c r="K11" s="105">
        <v>10.74</v>
      </c>
      <c r="L11" s="105">
        <v>79.599999999999994</v>
      </c>
      <c r="M11" s="105">
        <v>13.93</v>
      </c>
      <c r="N11" s="105">
        <v>80.5</v>
      </c>
      <c r="O11" s="105">
        <v>17.28</v>
      </c>
      <c r="P11" s="105">
        <v>81.599999999999994</v>
      </c>
      <c r="Q11" s="105">
        <v>20.8</v>
      </c>
      <c r="R11" s="105">
        <v>85.4</v>
      </c>
      <c r="S11" s="105">
        <v>34.56</v>
      </c>
      <c r="T11" s="105">
        <v>89.6</v>
      </c>
      <c r="U11" s="105">
        <v>50.94</v>
      </c>
    </row>
    <row r="12" spans="1:21" x14ac:dyDescent="0.85">
      <c r="A12" s="105">
        <v>3</v>
      </c>
      <c r="B12" s="105">
        <v>74.8</v>
      </c>
      <c r="C12" s="105">
        <v>0.59</v>
      </c>
      <c r="D12" s="105">
        <v>75.599999999999994</v>
      </c>
      <c r="E12" s="105">
        <v>1.8</v>
      </c>
      <c r="F12" s="105">
        <v>76.400000000000006</v>
      </c>
      <c r="G12" s="105">
        <v>4.3</v>
      </c>
      <c r="H12" s="105">
        <v>77.2</v>
      </c>
      <c r="I12" s="105">
        <v>6.91</v>
      </c>
      <c r="J12" s="105">
        <v>77.900000000000006</v>
      </c>
      <c r="K12" s="105">
        <v>9.64</v>
      </c>
      <c r="L12" s="105">
        <v>78.7</v>
      </c>
      <c r="M12" s="105">
        <v>12.51</v>
      </c>
      <c r="N12" s="105">
        <v>79.599999999999994</v>
      </c>
      <c r="O12" s="105">
        <v>15.51</v>
      </c>
      <c r="P12" s="105">
        <v>80.400000000000006</v>
      </c>
      <c r="Q12" s="105">
        <v>18.670000000000002</v>
      </c>
      <c r="R12" s="105">
        <v>83.6</v>
      </c>
      <c r="S12" s="105">
        <v>31.01</v>
      </c>
      <c r="T12" s="105">
        <v>87.1</v>
      </c>
      <c r="U12" s="105">
        <v>45.68</v>
      </c>
    </row>
    <row r="13" spans="1:21" x14ac:dyDescent="0.85">
      <c r="A13" s="105">
        <v>3.5</v>
      </c>
      <c r="B13" s="105">
        <v>74.8</v>
      </c>
      <c r="C13" s="105">
        <v>0.53</v>
      </c>
      <c r="D13" s="105">
        <v>75.5</v>
      </c>
      <c r="E13" s="105">
        <v>1.63</v>
      </c>
      <c r="F13" s="105">
        <v>76.099999999999994</v>
      </c>
      <c r="G13" s="105">
        <v>3.9</v>
      </c>
      <c r="H13" s="105">
        <v>76.8</v>
      </c>
      <c r="I13" s="105">
        <v>6.26</v>
      </c>
      <c r="J13" s="105">
        <v>77.400000000000006</v>
      </c>
      <c r="K13" s="105">
        <v>8.74</v>
      </c>
      <c r="L13" s="105">
        <v>78.099999999999994</v>
      </c>
      <c r="M13" s="105">
        <v>11.33</v>
      </c>
      <c r="N13" s="105">
        <v>78.8</v>
      </c>
      <c r="O13" s="105">
        <v>14.05</v>
      </c>
      <c r="P13" s="105">
        <v>79.5</v>
      </c>
      <c r="Q13" s="105">
        <v>16.91</v>
      </c>
      <c r="R13" s="105">
        <v>82.1</v>
      </c>
      <c r="S13" s="105">
        <v>28.07</v>
      </c>
      <c r="T13" s="105">
        <v>85.1</v>
      </c>
      <c r="U13" s="105">
        <v>41.35</v>
      </c>
    </row>
    <row r="14" spans="1:21" x14ac:dyDescent="0.85">
      <c r="A14" s="105">
        <v>4</v>
      </c>
      <c r="B14" s="105">
        <v>74.900000000000006</v>
      </c>
      <c r="C14" s="105">
        <v>0.5</v>
      </c>
      <c r="D14" s="105">
        <v>75.400000000000006</v>
      </c>
      <c r="E14" s="105">
        <v>1.52</v>
      </c>
      <c r="F14" s="105">
        <v>76</v>
      </c>
      <c r="G14" s="105">
        <v>3.63</v>
      </c>
      <c r="H14" s="105">
        <v>76.5</v>
      </c>
      <c r="I14" s="105">
        <v>5.82</v>
      </c>
      <c r="J14" s="105">
        <v>77.099999999999994</v>
      </c>
      <c r="K14" s="105">
        <v>8.1300000000000008</v>
      </c>
      <c r="L14" s="105">
        <v>77.7</v>
      </c>
      <c r="M14" s="105">
        <v>10.54</v>
      </c>
      <c r="N14" s="105">
        <v>78.3</v>
      </c>
      <c r="O14" s="105">
        <v>13.07</v>
      </c>
      <c r="P14" s="105">
        <v>78.900000000000006</v>
      </c>
      <c r="Q14" s="105">
        <v>15.72</v>
      </c>
      <c r="R14" s="105">
        <v>81.2</v>
      </c>
      <c r="S14" s="105">
        <v>26.1</v>
      </c>
      <c r="T14" s="105">
        <v>83.7</v>
      </c>
      <c r="U14" s="105">
        <v>38.43</v>
      </c>
    </row>
    <row r="15" spans="1:21" x14ac:dyDescent="0.85">
      <c r="A15" s="105">
        <v>4.5</v>
      </c>
      <c r="B15" s="105">
        <v>74.900000000000006</v>
      </c>
      <c r="C15" s="105">
        <v>0.47</v>
      </c>
      <c r="D15" s="105">
        <v>75.400000000000006</v>
      </c>
      <c r="E15" s="105">
        <v>1.43</v>
      </c>
      <c r="F15" s="105">
        <v>75.900000000000006</v>
      </c>
      <c r="G15" s="105">
        <v>3.41</v>
      </c>
      <c r="H15" s="105">
        <v>76.400000000000006</v>
      </c>
      <c r="I15" s="105">
        <v>5.47</v>
      </c>
      <c r="J15" s="105">
        <v>76.8</v>
      </c>
      <c r="K15" s="105">
        <v>7.63</v>
      </c>
      <c r="L15" s="105">
        <v>77.3</v>
      </c>
      <c r="M15" s="105">
        <v>9.9</v>
      </c>
      <c r="N15" s="105">
        <v>77.900000000000006</v>
      </c>
      <c r="O15" s="105">
        <v>12.27</v>
      </c>
      <c r="P15" s="105">
        <v>78.400000000000006</v>
      </c>
      <c r="Q15" s="105">
        <v>14.76</v>
      </c>
      <c r="R15" s="105">
        <v>80.400000000000006</v>
      </c>
      <c r="S15" s="105">
        <v>24.51</v>
      </c>
      <c r="T15" s="105">
        <v>82.7</v>
      </c>
      <c r="U15" s="105">
        <v>36.090000000000003</v>
      </c>
    </row>
    <row r="16" spans="1:21" x14ac:dyDescent="0.85">
      <c r="A16" s="105">
        <v>5</v>
      </c>
      <c r="B16" s="105">
        <v>74.900000000000006</v>
      </c>
      <c r="C16" s="105">
        <v>0.44</v>
      </c>
      <c r="D16" s="105">
        <v>75.3</v>
      </c>
      <c r="E16" s="105">
        <v>1.34</v>
      </c>
      <c r="F16" s="105">
        <v>75.7</v>
      </c>
      <c r="G16" s="105">
        <v>3.19</v>
      </c>
      <c r="H16" s="105">
        <v>76.2</v>
      </c>
      <c r="I16" s="105">
        <v>5.12</v>
      </c>
      <c r="J16" s="105">
        <v>76.599999999999994</v>
      </c>
      <c r="K16" s="105">
        <v>7.14</v>
      </c>
      <c r="L16" s="105">
        <v>77</v>
      </c>
      <c r="M16" s="105">
        <v>9.26</v>
      </c>
      <c r="N16" s="105">
        <v>77.5</v>
      </c>
      <c r="O16" s="105">
        <v>11.47</v>
      </c>
      <c r="P16" s="105">
        <v>77.900000000000006</v>
      </c>
      <c r="Q16" s="105">
        <v>13.8</v>
      </c>
      <c r="R16" s="105">
        <v>79.7</v>
      </c>
      <c r="S16" s="105">
        <v>22.91</v>
      </c>
      <c r="T16" s="105">
        <v>81.7</v>
      </c>
      <c r="U16" s="105">
        <v>33.729999999999997</v>
      </c>
    </row>
    <row r="17" spans="1:21" x14ac:dyDescent="0.85">
      <c r="A17" s="105">
        <v>5.5</v>
      </c>
      <c r="B17" s="105">
        <v>74.900000000000006</v>
      </c>
      <c r="C17" s="105">
        <v>0.42</v>
      </c>
      <c r="D17" s="105">
        <v>75.3</v>
      </c>
      <c r="E17" s="105">
        <v>1.28</v>
      </c>
      <c r="F17" s="105">
        <v>75.7</v>
      </c>
      <c r="G17" s="105">
        <v>3.04</v>
      </c>
      <c r="H17" s="105">
        <v>76</v>
      </c>
      <c r="I17" s="105">
        <v>4.88</v>
      </c>
      <c r="J17" s="105">
        <v>76.400000000000006</v>
      </c>
      <c r="K17" s="105">
        <v>6.81</v>
      </c>
      <c r="L17" s="105">
        <v>76.8</v>
      </c>
      <c r="M17" s="105">
        <v>8.83</v>
      </c>
      <c r="N17" s="105">
        <v>77.2</v>
      </c>
      <c r="O17" s="105">
        <v>10.95</v>
      </c>
      <c r="P17" s="105">
        <v>77.599999999999994</v>
      </c>
      <c r="Q17" s="105">
        <v>13.17</v>
      </c>
      <c r="R17" s="105">
        <v>79.2</v>
      </c>
      <c r="S17" s="105">
        <v>21.86</v>
      </c>
      <c r="T17" s="105">
        <v>81</v>
      </c>
      <c r="U17" s="105">
        <v>32.18</v>
      </c>
    </row>
    <row r="18" spans="1:21" x14ac:dyDescent="0.85">
      <c r="A18" s="105">
        <v>6</v>
      </c>
      <c r="B18" s="105">
        <v>74.900000000000006</v>
      </c>
      <c r="C18" s="105">
        <v>0.4</v>
      </c>
      <c r="D18" s="105">
        <v>75.3</v>
      </c>
      <c r="E18" s="105">
        <v>1.22</v>
      </c>
      <c r="F18" s="105">
        <v>75.599999999999994</v>
      </c>
      <c r="G18" s="105">
        <v>2.92</v>
      </c>
      <c r="H18" s="105">
        <v>75.900000000000006</v>
      </c>
      <c r="I18" s="105">
        <v>4.68</v>
      </c>
      <c r="J18" s="105">
        <v>76.3</v>
      </c>
      <c r="K18" s="105">
        <v>6.53</v>
      </c>
      <c r="L18" s="105">
        <v>76.7</v>
      </c>
      <c r="M18" s="105">
        <v>8.4700000000000006</v>
      </c>
      <c r="N18" s="105">
        <v>77</v>
      </c>
      <c r="O18" s="105">
        <v>10.5</v>
      </c>
      <c r="P18" s="105">
        <v>77.400000000000006</v>
      </c>
      <c r="Q18" s="105">
        <v>12.63</v>
      </c>
      <c r="R18" s="105">
        <v>78.8</v>
      </c>
      <c r="S18" s="105">
        <v>20.95</v>
      </c>
      <c r="T18" s="105">
        <v>80.5</v>
      </c>
      <c r="U18" s="105">
        <v>30.85</v>
      </c>
    </row>
    <row r="19" spans="1:21" x14ac:dyDescent="0.85">
      <c r="A19" s="105">
        <v>6.5</v>
      </c>
      <c r="B19" s="105">
        <v>74.900000000000006</v>
      </c>
      <c r="C19" s="105">
        <v>0.38</v>
      </c>
      <c r="D19" s="105">
        <v>75.2</v>
      </c>
      <c r="E19" s="105">
        <v>1.18</v>
      </c>
      <c r="F19" s="105">
        <v>75.599999999999994</v>
      </c>
      <c r="G19" s="105">
        <v>2.81</v>
      </c>
      <c r="H19" s="105">
        <v>75.900000000000006</v>
      </c>
      <c r="I19" s="105">
        <v>4.51</v>
      </c>
      <c r="J19" s="105">
        <v>76.2</v>
      </c>
      <c r="K19" s="105">
        <v>6.29</v>
      </c>
      <c r="L19" s="105">
        <v>76.5</v>
      </c>
      <c r="M19" s="105">
        <v>8.15</v>
      </c>
      <c r="N19" s="105">
        <v>76.8</v>
      </c>
      <c r="O19" s="105">
        <v>10.11</v>
      </c>
      <c r="P19" s="105">
        <v>77.2</v>
      </c>
      <c r="Q19" s="105">
        <v>12.16</v>
      </c>
      <c r="R19" s="105">
        <v>78.5</v>
      </c>
      <c r="S19" s="105">
        <v>20.170000000000002</v>
      </c>
      <c r="T19" s="105">
        <v>80</v>
      </c>
      <c r="U19" s="105">
        <v>29.69</v>
      </c>
    </row>
    <row r="20" spans="1:21" x14ac:dyDescent="0.85">
      <c r="A20" s="105">
        <v>7</v>
      </c>
      <c r="B20" s="105">
        <v>74.900000000000006</v>
      </c>
      <c r="C20" s="105">
        <v>0.37</v>
      </c>
      <c r="D20" s="105">
        <v>75.2</v>
      </c>
      <c r="E20" s="105">
        <v>1.1399999999999999</v>
      </c>
      <c r="F20" s="105">
        <v>75.5</v>
      </c>
      <c r="G20" s="105">
        <v>2.71</v>
      </c>
      <c r="H20" s="105">
        <v>75.8</v>
      </c>
      <c r="I20" s="105">
        <v>4.3600000000000003</v>
      </c>
      <c r="J20" s="105">
        <v>76.099999999999994</v>
      </c>
      <c r="K20" s="105">
        <v>6.08</v>
      </c>
      <c r="L20" s="105">
        <v>76.400000000000006</v>
      </c>
      <c r="M20" s="105">
        <v>7.88</v>
      </c>
      <c r="N20" s="105">
        <v>76.7</v>
      </c>
      <c r="O20" s="105">
        <v>9.76</v>
      </c>
      <c r="P20" s="105">
        <v>77</v>
      </c>
      <c r="Q20" s="105">
        <v>11.74</v>
      </c>
      <c r="R20" s="105">
        <v>78.2</v>
      </c>
      <c r="S20" s="105">
        <v>19.489999999999998</v>
      </c>
      <c r="T20" s="105">
        <v>79.599999999999994</v>
      </c>
      <c r="U20" s="105">
        <v>28.68</v>
      </c>
    </row>
    <row r="21" spans="1:21" x14ac:dyDescent="0.85">
      <c r="A21" s="105">
        <v>7.5</v>
      </c>
      <c r="B21" s="105">
        <v>74.900000000000006</v>
      </c>
      <c r="C21" s="105">
        <v>0.36</v>
      </c>
      <c r="D21" s="105">
        <v>75.2</v>
      </c>
      <c r="E21" s="105">
        <v>1.1000000000000001</v>
      </c>
      <c r="F21" s="105">
        <v>75.5</v>
      </c>
      <c r="G21" s="105">
        <v>2.63</v>
      </c>
      <c r="H21" s="105">
        <v>75.7</v>
      </c>
      <c r="I21" s="105">
        <v>4.22</v>
      </c>
      <c r="J21" s="105">
        <v>76</v>
      </c>
      <c r="K21" s="105">
        <v>5.89</v>
      </c>
      <c r="L21" s="105">
        <v>76.3</v>
      </c>
      <c r="M21" s="105">
        <v>7.63</v>
      </c>
      <c r="N21" s="105">
        <v>76.599999999999994</v>
      </c>
      <c r="O21" s="105">
        <v>9.4600000000000009</v>
      </c>
      <c r="P21" s="105">
        <v>76.900000000000006</v>
      </c>
      <c r="Q21" s="105">
        <v>11.38</v>
      </c>
      <c r="R21" s="105">
        <v>78</v>
      </c>
      <c r="S21" s="105">
        <v>18.88</v>
      </c>
      <c r="T21" s="105">
        <v>79.3</v>
      </c>
      <c r="U21" s="105">
        <v>27.79</v>
      </c>
    </row>
    <row r="22" spans="1:21" x14ac:dyDescent="0.85">
      <c r="A22" s="105">
        <v>8</v>
      </c>
      <c r="B22" s="105">
        <v>74.900000000000006</v>
      </c>
      <c r="C22" s="105">
        <v>0.35</v>
      </c>
      <c r="D22" s="105">
        <v>75.2</v>
      </c>
      <c r="E22" s="105">
        <v>1.07</v>
      </c>
      <c r="F22" s="105">
        <v>75.400000000000006</v>
      </c>
      <c r="G22" s="105">
        <v>2.5499999999999998</v>
      </c>
      <c r="H22" s="105">
        <v>75.7</v>
      </c>
      <c r="I22" s="105">
        <v>4.0999999999999996</v>
      </c>
      <c r="J22" s="105">
        <v>75.900000000000006</v>
      </c>
      <c r="K22" s="105">
        <v>5.72</v>
      </c>
      <c r="L22" s="105">
        <v>76.2</v>
      </c>
      <c r="M22" s="105">
        <v>7.41</v>
      </c>
      <c r="N22" s="105">
        <v>76.5</v>
      </c>
      <c r="O22" s="105">
        <v>9.19</v>
      </c>
      <c r="P22" s="105">
        <v>76.7</v>
      </c>
      <c r="Q22" s="105">
        <v>11.05</v>
      </c>
      <c r="R22" s="105">
        <v>77.8</v>
      </c>
      <c r="S22" s="105">
        <v>18.329999999999998</v>
      </c>
      <c r="T22" s="105">
        <v>79</v>
      </c>
      <c r="U22" s="105">
        <v>26.99</v>
      </c>
    </row>
    <row r="23" spans="1:21" x14ac:dyDescent="0.85">
      <c r="A23" s="105">
        <v>8.5</v>
      </c>
      <c r="B23" s="105">
        <v>74.900000000000006</v>
      </c>
      <c r="C23" s="105">
        <v>0.34</v>
      </c>
      <c r="D23" s="105">
        <v>75.2</v>
      </c>
      <c r="E23" s="105">
        <v>1.04</v>
      </c>
      <c r="F23" s="105">
        <v>75.400000000000006</v>
      </c>
      <c r="G23" s="105">
        <v>2.4900000000000002</v>
      </c>
      <c r="H23" s="105">
        <v>75.599999999999994</v>
      </c>
      <c r="I23" s="105">
        <v>3.99</v>
      </c>
      <c r="J23" s="105">
        <v>75.900000000000006</v>
      </c>
      <c r="K23" s="105">
        <v>5.57</v>
      </c>
      <c r="L23" s="105">
        <v>76.099999999999994</v>
      </c>
      <c r="M23" s="105">
        <v>7.21</v>
      </c>
      <c r="N23" s="105">
        <v>76.400000000000006</v>
      </c>
      <c r="O23" s="105">
        <v>8.94</v>
      </c>
      <c r="P23" s="105">
        <v>76.599999999999994</v>
      </c>
      <c r="Q23" s="105">
        <v>10.76</v>
      </c>
      <c r="R23" s="105">
        <v>77.599999999999994</v>
      </c>
      <c r="S23" s="105">
        <v>17.850000000000001</v>
      </c>
      <c r="T23" s="105">
        <v>78.7</v>
      </c>
      <c r="U23" s="105">
        <v>26.27</v>
      </c>
    </row>
    <row r="24" spans="1:21" x14ac:dyDescent="0.85">
      <c r="A24" s="105">
        <v>9</v>
      </c>
      <c r="B24" s="105">
        <v>74.900000000000006</v>
      </c>
      <c r="C24" s="105">
        <v>0.33</v>
      </c>
      <c r="D24" s="105">
        <v>75.2</v>
      </c>
      <c r="E24" s="105">
        <v>1.02</v>
      </c>
      <c r="F24" s="105">
        <v>75.400000000000006</v>
      </c>
      <c r="G24" s="105">
        <v>2.42</v>
      </c>
      <c r="H24" s="105">
        <v>75.599999999999994</v>
      </c>
      <c r="I24" s="105">
        <v>3.89</v>
      </c>
      <c r="J24" s="105">
        <v>75.8</v>
      </c>
      <c r="K24" s="105">
        <v>5.43</v>
      </c>
      <c r="L24" s="105">
        <v>76</v>
      </c>
      <c r="M24" s="105">
        <v>7.04</v>
      </c>
      <c r="N24" s="105">
        <v>76.3</v>
      </c>
      <c r="O24" s="105">
        <v>8.7200000000000006</v>
      </c>
      <c r="P24" s="105">
        <v>76.5</v>
      </c>
      <c r="Q24" s="105">
        <v>10.49</v>
      </c>
      <c r="R24" s="105">
        <v>77.400000000000006</v>
      </c>
      <c r="S24" s="105">
        <v>17.399999999999999</v>
      </c>
      <c r="T24" s="105">
        <v>78.5</v>
      </c>
      <c r="U24" s="105">
        <v>25.61</v>
      </c>
    </row>
    <row r="25" spans="1:21" x14ac:dyDescent="0.85">
      <c r="A25" s="105">
        <v>9.5</v>
      </c>
      <c r="B25" s="105">
        <v>74.900000000000006</v>
      </c>
      <c r="C25" s="105">
        <v>0.32</v>
      </c>
      <c r="D25" s="105">
        <v>75.2</v>
      </c>
      <c r="E25" s="105">
        <v>0.99</v>
      </c>
      <c r="F25" s="105">
        <v>75.400000000000006</v>
      </c>
      <c r="G25" s="105">
        <v>2.37</v>
      </c>
      <c r="H25" s="105">
        <v>75.599999999999994</v>
      </c>
      <c r="I25" s="105">
        <v>3.8</v>
      </c>
      <c r="J25" s="105">
        <v>75.8</v>
      </c>
      <c r="K25" s="105">
        <v>5.3</v>
      </c>
      <c r="L25" s="105">
        <v>76</v>
      </c>
      <c r="M25" s="105">
        <v>6.87</v>
      </c>
      <c r="N25" s="105">
        <v>76.2</v>
      </c>
      <c r="O25" s="105">
        <v>8.52</v>
      </c>
      <c r="P25" s="105">
        <v>76.400000000000006</v>
      </c>
      <c r="Q25" s="105">
        <v>10.25</v>
      </c>
      <c r="R25" s="105">
        <v>77.3</v>
      </c>
      <c r="S25" s="105">
        <v>17</v>
      </c>
      <c r="T25" s="105">
        <v>78.3</v>
      </c>
      <c r="U25" s="105">
        <v>25.02</v>
      </c>
    </row>
    <row r="26" spans="1:21" x14ac:dyDescent="0.85">
      <c r="A26" s="105">
        <v>10</v>
      </c>
      <c r="B26" s="105">
        <v>75</v>
      </c>
      <c r="C26" s="105">
        <v>0.32</v>
      </c>
      <c r="D26" s="105">
        <v>75.099999999999994</v>
      </c>
      <c r="E26" s="105">
        <v>0.97</v>
      </c>
      <c r="F26" s="105">
        <v>75.3</v>
      </c>
      <c r="G26" s="105">
        <v>2.3199999999999998</v>
      </c>
      <c r="H26" s="105">
        <v>75.5</v>
      </c>
      <c r="I26" s="105">
        <v>3.72</v>
      </c>
      <c r="J26" s="105">
        <v>75.7</v>
      </c>
      <c r="K26" s="105">
        <v>5.19</v>
      </c>
      <c r="L26" s="105">
        <v>75.900000000000006</v>
      </c>
      <c r="M26" s="105">
        <v>6.72</v>
      </c>
      <c r="N26" s="105">
        <v>76.099999999999994</v>
      </c>
      <c r="O26" s="105">
        <v>8.34</v>
      </c>
      <c r="P26" s="105">
        <v>76.3</v>
      </c>
      <c r="Q26" s="105">
        <v>10.02</v>
      </c>
      <c r="R26" s="105">
        <v>77.099999999999994</v>
      </c>
      <c r="S26" s="105">
        <v>16.63</v>
      </c>
      <c r="T26" s="105">
        <v>78.099999999999994</v>
      </c>
      <c r="U26" s="105">
        <v>24.48</v>
      </c>
    </row>
  </sheetData>
  <mergeCells count="11">
    <mergeCell ref="J4:K4"/>
    <mergeCell ref="B4:C4"/>
    <mergeCell ref="A4:A5"/>
    <mergeCell ref="D4:E4"/>
    <mergeCell ref="F4:G4"/>
    <mergeCell ref="H4:I4"/>
    <mergeCell ref="L4:M4"/>
    <mergeCell ref="N4:O4"/>
    <mergeCell ref="P4:Q4"/>
    <mergeCell ref="T4:U4"/>
    <mergeCell ref="R4:S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abColor rgb="FF00B0F0"/>
  </sheetPr>
  <dimension ref="A1:O82"/>
  <sheetViews>
    <sheetView workbookViewId="0">
      <selection sqref="A1:O1"/>
    </sheetView>
  </sheetViews>
  <sheetFormatPr defaultColWidth="11" defaultRowHeight="18.3" x14ac:dyDescent="0.85"/>
  <cols>
    <col min="1" max="1" width="15.70703125" style="1" customWidth="1"/>
    <col min="2" max="2" width="14.2890625" style="2" customWidth="1"/>
    <col min="3" max="3" width="18" style="1" customWidth="1"/>
    <col min="4" max="4" width="9.70703125" style="1" customWidth="1"/>
    <col min="5" max="5" width="11" style="1"/>
    <col min="6" max="7" width="11.70703125" style="1" customWidth="1"/>
    <col min="8" max="8" width="14.58203125" style="1" customWidth="1"/>
    <col min="9" max="9" width="11" style="1"/>
    <col min="10" max="10" width="11.70703125" style="1" customWidth="1"/>
    <col min="11" max="11" width="13.70703125" style="1" customWidth="1"/>
    <col min="12" max="13" width="11" style="1"/>
    <col min="14" max="15" width="14.70703125" style="1" customWidth="1"/>
    <col min="16" max="17" width="15.70703125" style="1" customWidth="1"/>
    <col min="18" max="18" width="11" style="1"/>
    <col min="19" max="19" width="11.70703125" style="1" customWidth="1"/>
    <col min="20" max="20" width="14.70703125" style="1" customWidth="1"/>
    <col min="21" max="16384" width="11" style="1"/>
  </cols>
  <sheetData>
    <row r="1" spans="1:15" s="20" customFormat="1" ht="138.75" customHeight="1" x14ac:dyDescent="0.85">
      <c r="A1" s="160"/>
      <c r="B1" s="160"/>
      <c r="C1" s="160"/>
      <c r="D1" s="160"/>
      <c r="E1" s="160"/>
      <c r="F1" s="160"/>
      <c r="G1" s="160"/>
      <c r="H1" s="160"/>
      <c r="I1" s="160"/>
      <c r="J1" s="160"/>
      <c r="K1" s="160"/>
      <c r="L1" s="160"/>
      <c r="M1" s="160"/>
      <c r="N1" s="160"/>
      <c r="O1" s="160"/>
    </row>
    <row r="2" spans="1:15" ht="19.5" customHeight="1" x14ac:dyDescent="0.85">
      <c r="A2" s="4" t="s">
        <v>6</v>
      </c>
      <c r="B2" s="5"/>
      <c r="C2" s="3"/>
    </row>
    <row r="3" spans="1:15" ht="19.5" customHeight="1" x14ac:dyDescent="0.85">
      <c r="A3" s="4" t="s">
        <v>7</v>
      </c>
      <c r="B3" s="5"/>
      <c r="C3" s="3"/>
    </row>
    <row r="4" spans="1:15" x14ac:dyDescent="0.85">
      <c r="A4" s="6" t="s">
        <v>0</v>
      </c>
      <c r="B4" s="52"/>
      <c r="C4" s="3"/>
      <c r="D4" s="3"/>
    </row>
    <row r="5" spans="1:15" s="42" customFormat="1" x14ac:dyDescent="0.85">
      <c r="A5" s="51" t="s">
        <v>5</v>
      </c>
      <c r="B5" s="161">
        <v>41023.570168287035</v>
      </c>
      <c r="C5" s="161"/>
      <c r="D5" s="161"/>
      <c r="E5" s="43"/>
      <c r="F5" s="43"/>
      <c r="G5" s="45"/>
      <c r="H5" s="43"/>
      <c r="I5" s="43"/>
      <c r="J5" s="43"/>
      <c r="K5" s="43"/>
      <c r="L5" s="44"/>
      <c r="M5" s="43"/>
      <c r="N5" s="43"/>
    </row>
    <row r="6" spans="1:15" s="42" customFormat="1" x14ac:dyDescent="0.85">
      <c r="A6" s="51" t="s">
        <v>1</v>
      </c>
      <c r="B6" s="47" t="s">
        <v>85</v>
      </c>
      <c r="C6" s="46"/>
      <c r="D6" s="46"/>
      <c r="E6" s="43"/>
      <c r="F6" s="43"/>
      <c r="G6" s="45"/>
      <c r="H6" s="43"/>
      <c r="I6" s="43"/>
      <c r="J6" s="43"/>
      <c r="K6" s="43"/>
      <c r="L6" s="44"/>
      <c r="M6" s="43"/>
      <c r="N6" s="43"/>
    </row>
    <row r="7" spans="1:15" s="42" customFormat="1" x14ac:dyDescent="0.85">
      <c r="A7" s="51" t="s">
        <v>2</v>
      </c>
      <c r="B7" s="47" t="s">
        <v>85</v>
      </c>
      <c r="C7" s="46"/>
      <c r="D7" s="46"/>
      <c r="E7" s="43"/>
      <c r="F7" s="43"/>
      <c r="G7" s="45"/>
      <c r="H7" s="43"/>
      <c r="I7" s="43"/>
      <c r="J7" s="43"/>
      <c r="K7" s="43"/>
      <c r="L7" s="44"/>
      <c r="M7" s="43"/>
      <c r="N7" s="43"/>
    </row>
    <row r="8" spans="1:15" s="42" customFormat="1" x14ac:dyDescent="0.85">
      <c r="A8" s="51" t="s">
        <v>3</v>
      </c>
      <c r="B8" s="47" t="s">
        <v>84</v>
      </c>
      <c r="C8" s="46"/>
      <c r="D8" s="46"/>
      <c r="E8" s="43"/>
      <c r="F8" s="43"/>
      <c r="G8" s="45"/>
      <c r="H8" s="43"/>
      <c r="I8" s="43"/>
      <c r="J8" s="43"/>
      <c r="K8" s="43"/>
      <c r="L8" s="44"/>
      <c r="M8" s="43"/>
      <c r="N8" s="43"/>
    </row>
    <row r="9" spans="1:15" s="42" customFormat="1" x14ac:dyDescent="0.85">
      <c r="A9" s="50" t="s">
        <v>4</v>
      </c>
      <c r="B9" s="46"/>
      <c r="C9" s="46"/>
      <c r="D9" s="46"/>
      <c r="E9" s="43"/>
      <c r="F9" s="43"/>
      <c r="G9" s="43"/>
      <c r="H9" s="43"/>
      <c r="I9" s="43"/>
      <c r="J9" s="43"/>
      <c r="K9" s="43"/>
      <c r="L9" s="44"/>
      <c r="M9" s="43"/>
      <c r="N9" s="43"/>
    </row>
    <row r="10" spans="1:15" s="42" customFormat="1" x14ac:dyDescent="0.85">
      <c r="A10" s="48">
        <v>1</v>
      </c>
      <c r="B10" s="163" t="s">
        <v>83</v>
      </c>
      <c r="C10" s="163"/>
      <c r="D10" s="163"/>
      <c r="E10" s="163"/>
      <c r="F10" s="163"/>
      <c r="G10" s="163"/>
      <c r="H10" s="163"/>
      <c r="I10" s="163"/>
      <c r="J10" s="163"/>
      <c r="K10" s="163"/>
      <c r="L10" s="44"/>
      <c r="M10" s="43"/>
      <c r="N10" s="43"/>
    </row>
    <row r="11" spans="1:15" s="42" customFormat="1" x14ac:dyDescent="0.85">
      <c r="A11" s="48"/>
      <c r="B11" s="164" t="s">
        <v>82</v>
      </c>
      <c r="C11" s="164"/>
      <c r="D11" s="164"/>
      <c r="E11" s="164"/>
      <c r="F11" s="164"/>
      <c r="G11" s="164"/>
      <c r="H11" s="164"/>
      <c r="I11" s="164"/>
      <c r="J11" s="164"/>
      <c r="K11" s="164"/>
      <c r="L11" s="44"/>
      <c r="M11" s="43"/>
      <c r="N11" s="43"/>
    </row>
    <row r="12" spans="1:15" s="42" customFormat="1" x14ac:dyDescent="0.85">
      <c r="A12" s="48"/>
      <c r="B12" s="47" t="s">
        <v>81</v>
      </c>
      <c r="C12" s="46"/>
      <c r="D12" s="46"/>
      <c r="E12" s="43"/>
      <c r="F12" s="43"/>
      <c r="G12" s="45"/>
      <c r="H12" s="43"/>
      <c r="I12" s="43"/>
      <c r="J12" s="43"/>
      <c r="K12" s="43"/>
      <c r="L12" s="44"/>
      <c r="M12" s="43"/>
      <c r="N12" s="43"/>
    </row>
    <row r="13" spans="1:15" s="42" customFormat="1" x14ac:dyDescent="0.85">
      <c r="A13" s="48">
        <v>2</v>
      </c>
      <c r="B13" s="162" t="s">
        <v>80</v>
      </c>
      <c r="C13" s="162"/>
      <c r="D13" s="162"/>
      <c r="E13" s="162"/>
      <c r="F13" s="162"/>
      <c r="G13" s="162"/>
      <c r="H13" s="162"/>
      <c r="I13" s="43"/>
      <c r="J13" s="43"/>
      <c r="K13" s="43"/>
      <c r="L13" s="44"/>
      <c r="M13" s="43"/>
      <c r="N13" s="43"/>
    </row>
    <row r="14" spans="1:15" s="42" customFormat="1" x14ac:dyDescent="0.85">
      <c r="A14" s="48"/>
      <c r="B14" s="162" t="s">
        <v>79</v>
      </c>
      <c r="C14" s="162"/>
      <c r="D14" s="162"/>
      <c r="E14" s="162"/>
      <c r="F14" s="162"/>
      <c r="G14" s="162"/>
      <c r="H14" s="162"/>
      <c r="I14" s="43"/>
      <c r="J14" s="43"/>
      <c r="K14" s="43"/>
      <c r="L14" s="44"/>
      <c r="M14" s="43"/>
      <c r="N14" s="43"/>
    </row>
    <row r="15" spans="1:15" s="42" customFormat="1" x14ac:dyDescent="0.8">
      <c r="A15" s="48"/>
      <c r="B15" s="47" t="s">
        <v>78</v>
      </c>
      <c r="C15" s="47"/>
      <c r="D15" s="47"/>
      <c r="E15" s="47"/>
      <c r="F15" s="47"/>
      <c r="G15" s="47"/>
      <c r="H15" s="49" t="s">
        <v>77</v>
      </c>
      <c r="I15" s="43"/>
      <c r="J15" s="43"/>
      <c r="K15" s="43"/>
      <c r="L15" s="44"/>
      <c r="M15" s="43"/>
      <c r="N15" s="43"/>
    </row>
    <row r="16" spans="1:15" s="42" customFormat="1" x14ac:dyDescent="0.85">
      <c r="A16" s="48">
        <v>3</v>
      </c>
      <c r="B16" s="42" t="s">
        <v>76</v>
      </c>
      <c r="C16" s="46"/>
      <c r="D16" s="46"/>
      <c r="E16" s="43"/>
      <c r="F16" s="43"/>
      <c r="G16" s="45"/>
      <c r="H16" s="43"/>
      <c r="I16" s="43"/>
      <c r="J16" s="43"/>
      <c r="K16" s="43"/>
      <c r="L16" s="44"/>
      <c r="M16" s="43"/>
      <c r="N16" s="43"/>
    </row>
    <row r="17" spans="1:14" s="42" customFormat="1" x14ac:dyDescent="0.85">
      <c r="A17" s="48">
        <v>4</v>
      </c>
      <c r="B17" s="47" t="s">
        <v>75</v>
      </c>
      <c r="C17" s="46"/>
      <c r="D17" s="46"/>
      <c r="E17" s="43"/>
      <c r="F17" s="43"/>
      <c r="G17" s="45"/>
      <c r="H17" s="43"/>
      <c r="I17" s="43"/>
      <c r="J17" s="43"/>
      <c r="K17" s="43"/>
      <c r="L17" s="44"/>
      <c r="M17" s="43"/>
      <c r="N17" s="43"/>
    </row>
    <row r="18" spans="1:14" s="42" customFormat="1" x14ac:dyDescent="0.85">
      <c r="A18" s="48"/>
      <c r="B18" s="47"/>
      <c r="C18" s="46"/>
      <c r="D18" s="46"/>
      <c r="E18" s="43"/>
      <c r="F18" s="43"/>
      <c r="G18" s="45"/>
      <c r="H18" s="43"/>
      <c r="I18" s="43"/>
      <c r="J18" s="43"/>
      <c r="K18" s="43"/>
      <c r="L18" s="44"/>
      <c r="M18" s="43"/>
      <c r="N18" s="43"/>
    </row>
    <row r="19" spans="1:14" s="42" customFormat="1" x14ac:dyDescent="0.85">
      <c r="A19" s="48"/>
      <c r="B19" s="159" t="s">
        <v>74</v>
      </c>
      <c r="C19" s="159"/>
      <c r="D19" s="159"/>
      <c r="E19" s="159"/>
      <c r="F19" s="159"/>
      <c r="G19" s="159"/>
      <c r="H19" s="159"/>
      <c r="I19" s="159"/>
      <c r="J19" s="159"/>
      <c r="K19" s="159"/>
      <c r="L19" s="44"/>
      <c r="M19" s="43"/>
      <c r="N19" s="43"/>
    </row>
    <row r="20" spans="1:14" s="42" customFormat="1" x14ac:dyDescent="0.85">
      <c r="A20" s="48"/>
      <c r="B20" s="47"/>
      <c r="C20" s="46"/>
      <c r="D20" s="46"/>
      <c r="E20" s="43"/>
      <c r="F20" s="43"/>
      <c r="G20" s="45"/>
      <c r="H20" s="43"/>
      <c r="I20" s="43"/>
      <c r="J20" s="43"/>
      <c r="K20" s="43"/>
      <c r="L20" s="44"/>
      <c r="M20" s="43"/>
      <c r="N20" s="43"/>
    </row>
    <row r="21" spans="1:14" s="42" customFormat="1" x14ac:dyDescent="0.85">
      <c r="A21" s="48"/>
      <c r="B21" s="47"/>
      <c r="C21" s="46"/>
      <c r="D21" s="46"/>
      <c r="E21" s="43"/>
      <c r="F21" s="43"/>
      <c r="G21" s="45"/>
      <c r="H21" s="43"/>
      <c r="I21" s="43"/>
      <c r="J21" s="43"/>
      <c r="K21" s="43"/>
      <c r="L21" s="44"/>
      <c r="M21" s="43"/>
      <c r="N21" s="43"/>
    </row>
    <row r="22" spans="1:14" s="42" customFormat="1" x14ac:dyDescent="0.85">
      <c r="A22" s="48"/>
      <c r="B22" s="47"/>
      <c r="C22" s="46"/>
      <c r="D22" s="46"/>
      <c r="E22" s="43"/>
      <c r="F22" s="43"/>
      <c r="G22" s="45"/>
      <c r="H22" s="43"/>
      <c r="I22" s="43"/>
      <c r="J22" s="43"/>
      <c r="K22" s="43"/>
      <c r="L22" s="44"/>
      <c r="M22" s="43"/>
      <c r="N22" s="43"/>
    </row>
    <row r="23" spans="1:14" s="42" customFormat="1" x14ac:dyDescent="0.85">
      <c r="A23" s="48"/>
      <c r="B23" s="47"/>
      <c r="C23" s="46"/>
      <c r="D23" s="46"/>
      <c r="E23" s="43"/>
      <c r="F23" s="43"/>
      <c r="G23" s="45"/>
      <c r="H23" s="43"/>
      <c r="I23" s="43"/>
      <c r="J23" s="43"/>
      <c r="K23" s="43"/>
      <c r="L23" s="44"/>
      <c r="M23" s="43"/>
      <c r="N23" s="43"/>
    </row>
    <row r="24" spans="1:14" s="42" customFormat="1" x14ac:dyDescent="0.85">
      <c r="A24" s="48"/>
      <c r="B24" s="47"/>
      <c r="C24" s="46"/>
      <c r="D24" s="46"/>
      <c r="E24" s="43"/>
      <c r="F24" s="43"/>
      <c r="G24" s="45"/>
      <c r="H24" s="43"/>
      <c r="I24" s="43"/>
      <c r="J24" s="43"/>
      <c r="K24" s="43"/>
      <c r="L24" s="44"/>
      <c r="M24" s="43"/>
      <c r="N24" s="43"/>
    </row>
    <row r="25" spans="1:14" s="42" customFormat="1" x14ac:dyDescent="0.85">
      <c r="A25" s="48"/>
      <c r="B25" s="47"/>
      <c r="C25" s="46"/>
      <c r="D25" s="46"/>
      <c r="E25" s="43"/>
      <c r="F25" s="43"/>
      <c r="G25" s="45"/>
      <c r="H25" s="43"/>
      <c r="I25" s="43"/>
      <c r="J25" s="43"/>
      <c r="K25" s="43"/>
      <c r="L25" s="44"/>
      <c r="M25" s="43"/>
      <c r="N25" s="43"/>
    </row>
    <row r="26" spans="1:14" s="42" customFormat="1" x14ac:dyDescent="0.85">
      <c r="A26" s="48"/>
      <c r="B26" s="47"/>
      <c r="C26" s="46"/>
      <c r="D26" s="46"/>
      <c r="E26" s="43"/>
      <c r="F26" s="43"/>
      <c r="G26" s="45"/>
      <c r="H26" s="43"/>
      <c r="I26" s="43"/>
      <c r="J26" s="43"/>
      <c r="K26" s="43"/>
      <c r="L26" s="44"/>
      <c r="M26" s="43"/>
      <c r="N26" s="43"/>
    </row>
    <row r="27" spans="1:14" s="42" customFormat="1" x14ac:dyDescent="0.85">
      <c r="A27" s="48"/>
      <c r="B27" s="47"/>
      <c r="C27" s="46"/>
      <c r="D27" s="46"/>
      <c r="E27" s="43"/>
      <c r="F27" s="43"/>
      <c r="G27" s="45"/>
      <c r="H27" s="43"/>
      <c r="I27" s="43"/>
      <c r="J27" s="43"/>
      <c r="K27" s="43"/>
      <c r="L27" s="44"/>
      <c r="M27" s="43"/>
      <c r="N27" s="43"/>
    </row>
    <row r="28" spans="1:14" s="42" customFormat="1" x14ac:dyDescent="0.85">
      <c r="A28" s="48"/>
      <c r="B28" s="159" t="s">
        <v>73</v>
      </c>
      <c r="C28" s="159"/>
      <c r="D28" s="159"/>
      <c r="E28" s="159"/>
      <c r="F28" s="159"/>
      <c r="G28" s="159"/>
      <c r="H28" s="159"/>
      <c r="I28" s="159"/>
      <c r="J28" s="159"/>
      <c r="K28" s="159"/>
      <c r="L28" s="44"/>
      <c r="M28" s="43"/>
      <c r="N28" s="43"/>
    </row>
    <row r="29" spans="1:14" s="42" customFormat="1" x14ac:dyDescent="0.85">
      <c r="A29" s="48"/>
      <c r="B29" s="47"/>
      <c r="C29" s="46"/>
      <c r="D29" s="46"/>
      <c r="E29" s="43"/>
      <c r="F29" s="43"/>
      <c r="G29" s="45"/>
      <c r="H29" s="43"/>
      <c r="I29" s="43"/>
      <c r="J29" s="43"/>
      <c r="K29" s="43"/>
      <c r="L29" s="44"/>
      <c r="M29" s="43"/>
      <c r="N29" s="43"/>
    </row>
    <row r="30" spans="1:14" s="42" customFormat="1" x14ac:dyDescent="0.85">
      <c r="A30" s="48"/>
      <c r="B30" s="47"/>
      <c r="C30" s="46"/>
      <c r="D30" s="46"/>
      <c r="E30" s="43"/>
      <c r="F30" s="43"/>
      <c r="G30" s="45"/>
      <c r="H30" s="43"/>
      <c r="I30" s="43"/>
      <c r="J30" s="43"/>
      <c r="K30" s="43"/>
      <c r="L30" s="44"/>
      <c r="M30" s="43"/>
      <c r="N30" s="43"/>
    </row>
    <row r="31" spans="1:14" s="42" customFormat="1" x14ac:dyDescent="0.85">
      <c r="A31" s="48"/>
      <c r="B31" s="47"/>
      <c r="C31" s="46"/>
      <c r="D31" s="46"/>
      <c r="E31" s="43"/>
      <c r="F31" s="43"/>
      <c r="G31" s="45"/>
      <c r="H31" s="43"/>
      <c r="I31" s="43"/>
      <c r="J31" s="43"/>
      <c r="K31" s="43"/>
      <c r="L31" s="44"/>
      <c r="M31" s="43"/>
      <c r="N31" s="43"/>
    </row>
    <row r="32" spans="1:14" x14ac:dyDescent="0.85">
      <c r="B32" s="159" t="s">
        <v>225</v>
      </c>
      <c r="C32" s="159"/>
      <c r="D32" s="159"/>
      <c r="E32" s="159"/>
      <c r="F32" s="159"/>
      <c r="G32" s="159"/>
      <c r="H32" s="159"/>
      <c r="I32" s="159"/>
      <c r="J32" s="159"/>
      <c r="K32" s="159"/>
    </row>
    <row r="33" spans="2:11" x14ac:dyDescent="0.85">
      <c r="C33" s="33" t="s">
        <v>62</v>
      </c>
      <c r="D33" s="41">
        <f>'Design Data'!C96</f>
        <v>53</v>
      </c>
      <c r="E33" s="1" t="s">
        <v>36</v>
      </c>
    </row>
    <row r="34" spans="2:11" x14ac:dyDescent="0.85">
      <c r="C34" s="33" t="s">
        <v>68</v>
      </c>
      <c r="D34" s="38">
        <f>'Design Data'!C93-'Design Data'!C112</f>
        <v>72</v>
      </c>
      <c r="E34" s="1" t="s">
        <v>36</v>
      </c>
    </row>
    <row r="35" spans="2:11" x14ac:dyDescent="0.85">
      <c r="C35" s="33" t="s">
        <v>67</v>
      </c>
      <c r="D35" s="37">
        <v>-9.6999999999999993</v>
      </c>
      <c r="E35" s="1" t="s">
        <v>36</v>
      </c>
    </row>
    <row r="36" spans="2:11" x14ac:dyDescent="0.85">
      <c r="C36" s="33" t="s">
        <v>66</v>
      </c>
      <c r="D36" s="36">
        <f>'Design Data'!C145</f>
        <v>10487.776313863271</v>
      </c>
      <c r="E36" s="1" t="s">
        <v>33</v>
      </c>
    </row>
    <row r="37" spans="2:11" x14ac:dyDescent="0.85">
      <c r="C37" s="33" t="s">
        <v>65</v>
      </c>
      <c r="D37" s="34">
        <f>D38*D36</f>
        <v>2439.0177474100628</v>
      </c>
      <c r="E37" s="1" t="s">
        <v>33</v>
      </c>
    </row>
    <row r="38" spans="2:11" x14ac:dyDescent="0.85">
      <c r="C38" s="33" t="s">
        <v>64</v>
      </c>
      <c r="D38" s="35">
        <f>(D33-D34)/(D35-D34)</f>
        <v>0.23255813953488372</v>
      </c>
    </row>
    <row r="39" spans="2:11" x14ac:dyDescent="0.85">
      <c r="C39" s="33" t="s">
        <v>63</v>
      </c>
      <c r="D39" s="34">
        <f>D36-D37</f>
        <v>8048.758566453208</v>
      </c>
      <c r="E39" s="1" t="s">
        <v>33</v>
      </c>
    </row>
    <row r="40" spans="2:11" x14ac:dyDescent="0.85">
      <c r="B40" s="159" t="s">
        <v>226</v>
      </c>
      <c r="C40" s="159"/>
      <c r="D40" s="159"/>
      <c r="E40" s="159"/>
      <c r="F40" s="159"/>
      <c r="G40" s="159"/>
      <c r="H40" s="159"/>
      <c r="I40" s="159"/>
      <c r="J40" s="159"/>
      <c r="K40" s="159"/>
    </row>
    <row r="41" spans="2:11" x14ac:dyDescent="0.85">
      <c r="C41" s="33" t="s">
        <v>62</v>
      </c>
      <c r="D41" s="41">
        <f>D33</f>
        <v>53</v>
      </c>
      <c r="E41" s="1" t="s">
        <v>36</v>
      </c>
    </row>
    <row r="42" spans="2:11" x14ac:dyDescent="0.85">
      <c r="C42" s="33" t="s">
        <v>68</v>
      </c>
      <c r="D42" s="38">
        <f>D34</f>
        <v>72</v>
      </c>
      <c r="E42" s="1" t="s">
        <v>36</v>
      </c>
    </row>
    <row r="43" spans="2:11" x14ac:dyDescent="0.85">
      <c r="C43" s="33" t="s">
        <v>67</v>
      </c>
      <c r="D43" s="37">
        <v>10.199999999999999</v>
      </c>
      <c r="E43" s="1" t="s">
        <v>36</v>
      </c>
    </row>
    <row r="44" spans="2:11" x14ac:dyDescent="0.85">
      <c r="C44" s="33" t="s">
        <v>66</v>
      </c>
      <c r="D44" s="36">
        <f>D36</f>
        <v>10487.776313863271</v>
      </c>
      <c r="E44" s="1" t="s">
        <v>33</v>
      </c>
    </row>
    <row r="45" spans="2:11" x14ac:dyDescent="0.85">
      <c r="C45" s="33" t="s">
        <v>65</v>
      </c>
      <c r="D45" s="34">
        <f>D46*D44</f>
        <v>3224.3972485987401</v>
      </c>
      <c r="E45" s="1" t="s">
        <v>33</v>
      </c>
    </row>
    <row r="46" spans="2:11" x14ac:dyDescent="0.85">
      <c r="C46" s="33" t="s">
        <v>64</v>
      </c>
      <c r="D46" s="35">
        <f>(D41-D42)/(D43-D42)</f>
        <v>0.30744336569579289</v>
      </c>
    </row>
    <row r="47" spans="2:11" x14ac:dyDescent="0.85">
      <c r="C47" s="33" t="s">
        <v>63</v>
      </c>
      <c r="D47" s="34">
        <f>D44-D45</f>
        <v>7263.3790652645312</v>
      </c>
      <c r="E47" s="1" t="s">
        <v>33</v>
      </c>
    </row>
    <row r="48" spans="2:11" x14ac:dyDescent="0.85">
      <c r="B48" s="159" t="s">
        <v>72</v>
      </c>
      <c r="C48" s="159"/>
      <c r="D48" s="159"/>
      <c r="E48" s="159"/>
      <c r="F48" s="159"/>
      <c r="G48" s="159"/>
      <c r="H48" s="159"/>
      <c r="I48" s="159"/>
      <c r="J48" s="159"/>
      <c r="K48" s="159"/>
    </row>
    <row r="49" spans="2:11" x14ac:dyDescent="0.85">
      <c r="B49" s="159" t="s">
        <v>71</v>
      </c>
      <c r="C49" s="159"/>
      <c r="D49" s="159"/>
      <c r="E49" s="159"/>
      <c r="F49" s="159"/>
      <c r="G49" s="159"/>
      <c r="H49" s="159"/>
      <c r="I49" s="159"/>
      <c r="J49" s="159"/>
      <c r="K49" s="159"/>
    </row>
    <row r="50" spans="2:11" x14ac:dyDescent="0.85">
      <c r="C50" s="33" t="s">
        <v>62</v>
      </c>
      <c r="D50" s="40">
        <v>32</v>
      </c>
      <c r="E50" s="1" t="s">
        <v>36</v>
      </c>
    </row>
    <row r="51" spans="2:11" x14ac:dyDescent="0.85">
      <c r="C51" s="33" t="s">
        <v>68</v>
      </c>
      <c r="D51" s="38">
        <f>'Design Data'!C102-'Design Data'!C112</f>
        <v>72</v>
      </c>
      <c r="E51" s="1" t="s">
        <v>36</v>
      </c>
    </row>
    <row r="52" spans="2:11" x14ac:dyDescent="0.85">
      <c r="C52" s="33" t="s">
        <v>66</v>
      </c>
      <c r="D52" s="36">
        <f>'Design Data'!C97</f>
        <v>22306.397306397306</v>
      </c>
      <c r="E52" s="1" t="s">
        <v>33</v>
      </c>
    </row>
    <row r="53" spans="2:11" x14ac:dyDescent="0.85">
      <c r="C53" s="33" t="s">
        <v>65</v>
      </c>
      <c r="D53" s="36">
        <f>'Design Data'!C43</f>
        <v>2608.695652173913</v>
      </c>
      <c r="E53" s="1" t="s">
        <v>33</v>
      </c>
    </row>
    <row r="54" spans="2:11" x14ac:dyDescent="0.85">
      <c r="C54" s="33" t="s">
        <v>64</v>
      </c>
      <c r="D54" s="35">
        <f>D53/D52</f>
        <v>0.11694831829368335</v>
      </c>
    </row>
    <row r="55" spans="2:11" x14ac:dyDescent="0.85">
      <c r="C55" s="33" t="s">
        <v>63</v>
      </c>
      <c r="D55" s="34">
        <f>D52-D53</f>
        <v>19697.701654223394</v>
      </c>
      <c r="E55" s="1" t="s">
        <v>33</v>
      </c>
    </row>
    <row r="56" spans="2:11" x14ac:dyDescent="0.85">
      <c r="C56" s="33" t="s">
        <v>67</v>
      </c>
      <c r="D56" s="32">
        <f>((D50-(D51*(1-D54)))/D54)</f>
        <v>-270.03142536475866</v>
      </c>
      <c r="E56" s="1" t="s">
        <v>36</v>
      </c>
    </row>
    <row r="57" spans="2:11" x14ac:dyDescent="0.85">
      <c r="B57" s="159" t="s">
        <v>222</v>
      </c>
      <c r="C57" s="159"/>
      <c r="D57" s="159"/>
      <c r="E57" s="159"/>
      <c r="F57" s="159"/>
      <c r="G57" s="159"/>
      <c r="H57" s="159"/>
      <c r="I57" s="159"/>
      <c r="J57" s="159"/>
      <c r="K57" s="159"/>
    </row>
    <row r="58" spans="2:11" x14ac:dyDescent="0.85">
      <c r="B58" s="159" t="s">
        <v>70</v>
      </c>
      <c r="C58" s="159"/>
      <c r="D58" s="159"/>
      <c r="E58" s="159"/>
      <c r="F58" s="159"/>
      <c r="G58" s="159"/>
      <c r="H58" s="159"/>
      <c r="I58" s="159"/>
      <c r="J58" s="159"/>
      <c r="K58" s="159"/>
    </row>
    <row r="59" spans="2:11" x14ac:dyDescent="0.85">
      <c r="C59" s="33" t="s">
        <v>69</v>
      </c>
      <c r="D59" s="39">
        <v>53</v>
      </c>
      <c r="E59" s="1" t="s">
        <v>36</v>
      </c>
    </row>
    <row r="60" spans="2:11" x14ac:dyDescent="0.85">
      <c r="C60" s="33" t="s">
        <v>68</v>
      </c>
      <c r="D60" s="38">
        <v>72</v>
      </c>
      <c r="E60" s="1" t="s">
        <v>36</v>
      </c>
    </row>
    <row r="61" spans="2:11" x14ac:dyDescent="0.85">
      <c r="C61" s="33" t="s">
        <v>66</v>
      </c>
      <c r="D61" s="36">
        <f>'Design Data'!C97</f>
        <v>22306.397306397306</v>
      </c>
      <c r="E61" s="1" t="s">
        <v>33</v>
      </c>
    </row>
    <row r="62" spans="2:11" x14ac:dyDescent="0.85">
      <c r="C62" s="33" t="s">
        <v>65</v>
      </c>
      <c r="D62" s="36">
        <v>4000</v>
      </c>
      <c r="E62" s="1" t="s">
        <v>33</v>
      </c>
    </row>
    <row r="63" spans="2:11" x14ac:dyDescent="0.85">
      <c r="C63" s="33" t="s">
        <v>64</v>
      </c>
      <c r="D63" s="35">
        <f>D62/D61</f>
        <v>0.17932075471698114</v>
      </c>
    </row>
    <row r="64" spans="2:11" x14ac:dyDescent="0.85">
      <c r="C64" s="33" t="s">
        <v>63</v>
      </c>
      <c r="D64" s="34">
        <f>D61-D62</f>
        <v>18306.397306397306</v>
      </c>
      <c r="E64" s="1" t="s">
        <v>33</v>
      </c>
    </row>
    <row r="65" spans="2:11" x14ac:dyDescent="0.85">
      <c r="C65" s="33" t="s">
        <v>67</v>
      </c>
      <c r="D65" s="32">
        <f>((D59-(D60*(1-D63)))/D63)</f>
        <v>-33.955387205387197</v>
      </c>
      <c r="E65" s="1" t="s">
        <v>36</v>
      </c>
    </row>
    <row r="66" spans="2:11" x14ac:dyDescent="0.85">
      <c r="B66" s="159" t="s">
        <v>223</v>
      </c>
      <c r="C66" s="159"/>
      <c r="D66" s="159"/>
      <c r="E66" s="159"/>
      <c r="F66" s="159"/>
      <c r="G66" s="159"/>
      <c r="H66" s="159"/>
      <c r="I66" s="159"/>
      <c r="J66" s="159"/>
      <c r="K66" s="159"/>
    </row>
    <row r="67" spans="2:11" x14ac:dyDescent="0.85">
      <c r="B67" s="159" t="s">
        <v>70</v>
      </c>
      <c r="C67" s="159"/>
      <c r="D67" s="159"/>
      <c r="E67" s="159"/>
      <c r="F67" s="159"/>
      <c r="G67" s="159"/>
      <c r="H67" s="159"/>
      <c r="I67" s="159"/>
      <c r="J67" s="159"/>
      <c r="K67" s="159"/>
    </row>
    <row r="68" spans="2:11" x14ac:dyDescent="0.85">
      <c r="C68" s="33" t="s">
        <v>69</v>
      </c>
      <c r="D68" s="39">
        <v>53</v>
      </c>
      <c r="E68" s="1" t="s">
        <v>36</v>
      </c>
    </row>
    <row r="69" spans="2:11" x14ac:dyDescent="0.85">
      <c r="C69" s="33" t="s">
        <v>68</v>
      </c>
      <c r="D69" s="38">
        <v>72</v>
      </c>
      <c r="E69" s="1" t="s">
        <v>36</v>
      </c>
    </row>
    <row r="70" spans="2:11" x14ac:dyDescent="0.85">
      <c r="C70" s="33" t="s">
        <v>66</v>
      </c>
      <c r="D70" s="36">
        <f>'Design Data'!C182</f>
        <v>15652.993705167617</v>
      </c>
      <c r="E70" s="1" t="s">
        <v>33</v>
      </c>
    </row>
    <row r="71" spans="2:11" x14ac:dyDescent="0.85">
      <c r="C71" s="33" t="s">
        <v>65</v>
      </c>
      <c r="D71" s="36">
        <f>'Design Data'!C183</f>
        <v>3640.2310942250269</v>
      </c>
      <c r="E71" s="1" t="s">
        <v>33</v>
      </c>
    </row>
    <row r="72" spans="2:11" x14ac:dyDescent="0.85">
      <c r="C72" s="33" t="s">
        <v>64</v>
      </c>
      <c r="D72" s="35">
        <f>D71/D70</f>
        <v>0.23255813953488369</v>
      </c>
    </row>
    <row r="73" spans="2:11" x14ac:dyDescent="0.85">
      <c r="C73" s="33" t="s">
        <v>63</v>
      </c>
      <c r="D73" s="34">
        <f>D70-D71</f>
        <v>12012.762610942591</v>
      </c>
      <c r="E73" s="1" t="s">
        <v>33</v>
      </c>
    </row>
    <row r="74" spans="2:11" x14ac:dyDescent="0.85">
      <c r="C74" s="33" t="s">
        <v>67</v>
      </c>
      <c r="D74" s="32">
        <f>((D68-(D69*(1-D72)))/D72)</f>
        <v>-9.6999999999999957</v>
      </c>
      <c r="E74" s="1" t="s">
        <v>36</v>
      </c>
    </row>
    <row r="75" spans="2:11" x14ac:dyDescent="0.85">
      <c r="B75" s="159" t="s">
        <v>224</v>
      </c>
      <c r="C75" s="159"/>
      <c r="D75" s="159"/>
      <c r="E75" s="159"/>
      <c r="F75" s="159"/>
      <c r="G75" s="159"/>
      <c r="H75" s="159"/>
      <c r="I75" s="159"/>
      <c r="J75" s="159"/>
      <c r="K75" s="159"/>
    </row>
    <row r="76" spans="2:11" x14ac:dyDescent="0.85">
      <c r="C76" s="33" t="s">
        <v>68</v>
      </c>
      <c r="D76" s="38">
        <f>D69</f>
        <v>72</v>
      </c>
      <c r="E76" s="1" t="s">
        <v>36</v>
      </c>
    </row>
    <row r="77" spans="2:11" x14ac:dyDescent="0.85">
      <c r="C77" s="33" t="s">
        <v>67</v>
      </c>
      <c r="D77" s="37">
        <f>D35</f>
        <v>-9.6999999999999993</v>
      </c>
      <c r="E77" s="1" t="s">
        <v>36</v>
      </c>
    </row>
    <row r="78" spans="2:11" x14ac:dyDescent="0.85">
      <c r="C78" s="33" t="s">
        <v>66</v>
      </c>
      <c r="D78" s="36">
        <f>'Design Data'!C182</f>
        <v>15652.993705167617</v>
      </c>
      <c r="E78" s="1" t="s">
        <v>33</v>
      </c>
    </row>
    <row r="79" spans="2:11" x14ac:dyDescent="0.85">
      <c r="C79" s="33" t="s">
        <v>65</v>
      </c>
      <c r="D79" s="36">
        <f>D71</f>
        <v>3640.2310942250269</v>
      </c>
      <c r="E79" s="1" t="s">
        <v>33</v>
      </c>
    </row>
    <row r="80" spans="2:11" x14ac:dyDescent="0.85">
      <c r="C80" s="33" t="s">
        <v>64</v>
      </c>
      <c r="D80" s="35">
        <f>D79/D78</f>
        <v>0.23255813953488369</v>
      </c>
    </row>
    <row r="81" spans="3:5" x14ac:dyDescent="0.85">
      <c r="C81" s="33" t="s">
        <v>63</v>
      </c>
      <c r="D81" s="34">
        <f>D78-D79</f>
        <v>12012.762610942591</v>
      </c>
      <c r="E81" s="1" t="s">
        <v>33</v>
      </c>
    </row>
    <row r="82" spans="3:5" x14ac:dyDescent="0.85">
      <c r="C82" s="33" t="s">
        <v>62</v>
      </c>
      <c r="D82" s="32">
        <f>(D80*(D77-D76))+D76</f>
        <v>53</v>
      </c>
      <c r="E82" s="1" t="s">
        <v>36</v>
      </c>
    </row>
  </sheetData>
  <mergeCells count="17">
    <mergeCell ref="B19:K19"/>
    <mergeCell ref="B28:K28"/>
    <mergeCell ref="A1:O1"/>
    <mergeCell ref="B5:D5"/>
    <mergeCell ref="B13:H13"/>
    <mergeCell ref="B14:H14"/>
    <mergeCell ref="B10:K10"/>
    <mergeCell ref="B11:K11"/>
    <mergeCell ref="B75:K75"/>
    <mergeCell ref="B32:K32"/>
    <mergeCell ref="B48:K48"/>
    <mergeCell ref="B49:K49"/>
    <mergeCell ref="B57:K57"/>
    <mergeCell ref="B58:K58"/>
    <mergeCell ref="B66:K66"/>
    <mergeCell ref="B67:K67"/>
    <mergeCell ref="B40:K40"/>
  </mergeCells>
  <hyperlinks>
    <hyperlink ref="H15" r:id="rId1" xr:uid="{00000000-0004-0000-0100-000000000000}"/>
  </hyperlinks>
  <pageMargins left="0.75" right="0.75" top="1" bottom="1" header="0.5" footer="0.5"/>
  <pageSetup scale="61" orientation="landscape" r:id="rId2"/>
  <headerFooter alignWithMargins="0">
    <oddFooter>&amp;LPage &amp;P of &amp;N of Sheet &amp;A of File &amp;F
Printed on &amp;D at &amp;T
DAS</oddFooter>
  </headerFooter>
  <drawing r:id="rId3"/>
  <legacyDrawing r:id="rId4"/>
  <oleObjects>
    <mc:AlternateContent xmlns:mc="http://schemas.openxmlformats.org/markup-compatibility/2006">
      <mc:Choice Requires="x14">
        <oleObject progId="Equation.DSMT4" shapeId="2049" r:id="rId5">
          <objectPr defaultSize="0" autoPict="0" r:id="rId6">
            <anchor moveWithCells="1">
              <from>
                <xdr:col>1</xdr:col>
                <xdr:colOff>0</xdr:colOff>
                <xdr:row>19</xdr:row>
                <xdr:rowOff>0</xdr:rowOff>
              </from>
              <to>
                <xdr:col>4</xdr:col>
                <xdr:colOff>30480</xdr:colOff>
                <xdr:row>26</xdr:row>
                <xdr:rowOff>163830</xdr:rowOff>
              </to>
            </anchor>
          </objectPr>
        </oleObject>
      </mc:Choice>
      <mc:Fallback>
        <oleObject progId="Equation.DSMT4" shapeId="2049" r:id="rId5"/>
      </mc:Fallback>
    </mc:AlternateContent>
    <mc:AlternateContent xmlns:mc="http://schemas.openxmlformats.org/markup-compatibility/2006">
      <mc:Choice Requires="x14">
        <oleObject progId="Equation.DSMT4" shapeId="2050" r:id="rId7">
          <objectPr defaultSize="0" autoPict="0" r:id="rId8">
            <anchor moveWithCells="1">
              <from>
                <xdr:col>1</xdr:col>
                <xdr:colOff>0</xdr:colOff>
                <xdr:row>28</xdr:row>
                <xdr:rowOff>0</xdr:rowOff>
              </from>
              <to>
                <xdr:col>2</xdr:col>
                <xdr:colOff>1287780</xdr:colOff>
                <xdr:row>30</xdr:row>
                <xdr:rowOff>144780</xdr:rowOff>
              </to>
            </anchor>
          </objectPr>
        </oleObject>
      </mc:Choice>
      <mc:Fallback>
        <oleObject progId="Equation.DSMT4" shapeId="2050" r:id="rId7"/>
      </mc:Fallback>
    </mc:AlternateContent>
    <mc:AlternateContent xmlns:mc="http://schemas.openxmlformats.org/markup-compatibility/2006">
      <mc:Choice Requires="x14">
        <oleObject progId="Equation.DSMT4" shapeId="2051" r:id="rId9">
          <objectPr defaultSize="0" autoPict="0" r:id="rId10">
            <anchor moveWithCells="1">
              <from>
                <xdr:col>5</xdr:col>
                <xdr:colOff>0</xdr:colOff>
                <xdr:row>49</xdr:row>
                <xdr:rowOff>0</xdr:rowOff>
              </from>
              <to>
                <xdr:col>7</xdr:col>
                <xdr:colOff>762000</xdr:colOff>
                <xdr:row>51</xdr:row>
                <xdr:rowOff>182880</xdr:rowOff>
              </to>
            </anchor>
          </objectPr>
        </oleObject>
      </mc:Choice>
      <mc:Fallback>
        <oleObject progId="Equation.DSMT4" shapeId="2051" r:id="rId9"/>
      </mc:Fallback>
    </mc:AlternateContent>
    <mc:AlternateContent xmlns:mc="http://schemas.openxmlformats.org/markup-compatibility/2006">
      <mc:Choice Requires="x14">
        <oleObject progId="Equation.DSMT4" shapeId="2052" r:id="rId11">
          <objectPr defaultSize="0" autoPict="0" r:id="rId12">
            <anchor moveWithCells="1">
              <from>
                <xdr:col>5</xdr:col>
                <xdr:colOff>0</xdr:colOff>
                <xdr:row>58</xdr:row>
                <xdr:rowOff>11430</xdr:rowOff>
              </from>
              <to>
                <xdr:col>10</xdr:col>
                <xdr:colOff>87630</xdr:colOff>
                <xdr:row>64</xdr:row>
                <xdr:rowOff>19050</xdr:rowOff>
              </to>
            </anchor>
          </objectPr>
        </oleObject>
      </mc:Choice>
      <mc:Fallback>
        <oleObject progId="Equation.DSMT4" shapeId="2052" r:id="rId11"/>
      </mc:Fallback>
    </mc:AlternateContent>
    <mc:AlternateContent xmlns:mc="http://schemas.openxmlformats.org/markup-compatibility/2006">
      <mc:Choice Requires="x14">
        <oleObject progId="Equation.DSMT4" shapeId="2053" r:id="rId13">
          <objectPr defaultSize="0" autoPict="0" r:id="rId14">
            <anchor moveWithCells="1">
              <from>
                <xdr:col>5</xdr:col>
                <xdr:colOff>0</xdr:colOff>
                <xdr:row>75</xdr:row>
                <xdr:rowOff>0</xdr:rowOff>
              </from>
              <to>
                <xdr:col>8</xdr:col>
                <xdr:colOff>895350</xdr:colOff>
                <xdr:row>76</xdr:row>
                <xdr:rowOff>152400</xdr:rowOff>
              </to>
            </anchor>
          </objectPr>
        </oleObject>
      </mc:Choice>
      <mc:Fallback>
        <oleObject progId="Equation.DSMT4" shapeId="2053" r:id="rId13"/>
      </mc:Fallback>
    </mc:AlternateContent>
    <mc:AlternateContent xmlns:mc="http://schemas.openxmlformats.org/markup-compatibility/2006">
      <mc:Choice Requires="x14">
        <oleObject progId="Equation.DSMT4" shapeId="2054" r:id="rId15">
          <objectPr defaultSize="0" autoPict="0" r:id="rId16">
            <anchor moveWithCells="1">
              <from>
                <xdr:col>5</xdr:col>
                <xdr:colOff>0</xdr:colOff>
                <xdr:row>32</xdr:row>
                <xdr:rowOff>0</xdr:rowOff>
              </from>
              <to>
                <xdr:col>7</xdr:col>
                <xdr:colOff>582930</xdr:colOff>
                <xdr:row>34</xdr:row>
                <xdr:rowOff>182880</xdr:rowOff>
              </to>
            </anchor>
          </objectPr>
        </oleObject>
      </mc:Choice>
      <mc:Fallback>
        <oleObject progId="Equation.DSMT4" shapeId="2054" r:id="rId15"/>
      </mc:Fallback>
    </mc:AlternateContent>
    <mc:AlternateContent xmlns:mc="http://schemas.openxmlformats.org/markup-compatibility/2006">
      <mc:Choice Requires="x14">
        <oleObject progId="Equation.DSMT4" shapeId="2055" r:id="rId17">
          <objectPr defaultSize="0" autoPict="0" r:id="rId12">
            <anchor moveWithCells="1">
              <from>
                <xdr:col>5</xdr:col>
                <xdr:colOff>0</xdr:colOff>
                <xdr:row>67</xdr:row>
                <xdr:rowOff>11430</xdr:rowOff>
              </from>
              <to>
                <xdr:col>10</xdr:col>
                <xdr:colOff>87630</xdr:colOff>
                <xdr:row>73</xdr:row>
                <xdr:rowOff>19050</xdr:rowOff>
              </to>
            </anchor>
          </objectPr>
        </oleObject>
      </mc:Choice>
      <mc:Fallback>
        <oleObject progId="Equation.DSMT4" shapeId="2055" r:id="rId17"/>
      </mc:Fallback>
    </mc:AlternateContent>
    <mc:AlternateContent xmlns:mc="http://schemas.openxmlformats.org/markup-compatibility/2006">
      <mc:Choice Requires="x14">
        <oleObject progId="Equation.DSMT4" shapeId="2056" r:id="rId18">
          <objectPr defaultSize="0" autoPict="0" r:id="rId16">
            <anchor moveWithCells="1">
              <from>
                <xdr:col>5</xdr:col>
                <xdr:colOff>0</xdr:colOff>
                <xdr:row>40</xdr:row>
                <xdr:rowOff>0</xdr:rowOff>
              </from>
              <to>
                <xdr:col>7</xdr:col>
                <xdr:colOff>582930</xdr:colOff>
                <xdr:row>42</xdr:row>
                <xdr:rowOff>182880</xdr:rowOff>
              </to>
            </anchor>
          </objectPr>
        </oleObject>
      </mc:Choice>
      <mc:Fallback>
        <oleObject progId="Equation.DSMT4" shapeId="2056" r:id="rId1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9:X133"/>
  <sheetViews>
    <sheetView workbookViewId="0"/>
  </sheetViews>
  <sheetFormatPr defaultColWidth="8.7890625" defaultRowHeight="18.3" x14ac:dyDescent="0.85"/>
  <cols>
    <col min="1" max="1" width="12.70703125" style="67" customWidth="1"/>
    <col min="2" max="2" width="12.70703125" style="69" customWidth="1"/>
    <col min="3" max="8" width="12.70703125" style="67" customWidth="1"/>
    <col min="9" max="16384" width="8.7890625" style="67"/>
  </cols>
  <sheetData>
    <row r="29" spans="1:6" x14ac:dyDescent="0.85">
      <c r="A29" s="72"/>
      <c r="B29" s="72"/>
      <c r="C29" s="72"/>
      <c r="D29" s="73" t="s">
        <v>180</v>
      </c>
      <c r="E29" s="72">
        <f>'Design Data'!C129</f>
        <v>198659.04347826089</v>
      </c>
      <c r="F29" s="72" t="s">
        <v>59</v>
      </c>
    </row>
    <row r="30" spans="1:6" x14ac:dyDescent="0.85">
      <c r="A30" s="72"/>
      <c r="B30" s="72"/>
      <c r="C30" s="72"/>
      <c r="D30" s="73" t="s">
        <v>179</v>
      </c>
      <c r="E30" s="72">
        <f>'Design Data'!C135</f>
        <v>794.63617391304354</v>
      </c>
      <c r="F30" s="72" t="s">
        <v>181</v>
      </c>
    </row>
    <row r="31" spans="1:6" x14ac:dyDescent="0.85">
      <c r="A31" s="72"/>
      <c r="B31" s="72"/>
      <c r="C31" s="72"/>
      <c r="D31" s="73" t="s">
        <v>182</v>
      </c>
      <c r="E31" s="72">
        <v>160</v>
      </c>
      <c r="F31" s="72" t="s">
        <v>36</v>
      </c>
    </row>
    <row r="32" spans="1:6" x14ac:dyDescent="0.85">
      <c r="A32" s="72"/>
      <c r="B32" s="72"/>
      <c r="C32" s="72"/>
      <c r="D32" s="73" t="str">
        <f>"Actual capacity with "&amp;TEXT(E31,"###")&amp;" °F average water temperature - "</f>
        <v xml:space="preserve">Actual capacity with 160 °F average water temperature - </v>
      </c>
      <c r="E32" s="72">
        <f>G44</f>
        <v>816.2</v>
      </c>
      <c r="F32" s="72" t="s">
        <v>181</v>
      </c>
    </row>
    <row r="33" spans="1:24" x14ac:dyDescent="0.85">
      <c r="A33" s="72"/>
      <c r="B33" s="72"/>
      <c r="C33" s="72"/>
      <c r="D33" s="73" t="s">
        <v>183</v>
      </c>
      <c r="E33" s="72">
        <f>E29/E32</f>
        <v>243.39505449431621</v>
      </c>
      <c r="F33" s="72" t="s">
        <v>184</v>
      </c>
    </row>
    <row r="34" spans="1:24" x14ac:dyDescent="0.85">
      <c r="A34" s="165" t="s">
        <v>161</v>
      </c>
      <c r="B34" s="165"/>
      <c r="C34" s="165"/>
      <c r="D34" s="165"/>
      <c r="E34" s="165"/>
      <c r="F34" s="165"/>
      <c r="G34" s="165"/>
    </row>
    <row r="35" spans="1:24" ht="40" customHeight="1" x14ac:dyDescent="0.85">
      <c r="A35" s="166" t="s">
        <v>162</v>
      </c>
      <c r="B35" s="166"/>
      <c r="C35" s="166"/>
      <c r="D35" s="166"/>
      <c r="E35" s="166"/>
      <c r="F35" s="166"/>
      <c r="G35" s="166"/>
    </row>
    <row r="36" spans="1:24" s="68" customFormat="1" ht="54.9" x14ac:dyDescent="0.85">
      <c r="A36" s="68" t="s">
        <v>163</v>
      </c>
      <c r="B36" s="68" t="s">
        <v>164</v>
      </c>
      <c r="C36" s="68" t="s">
        <v>165</v>
      </c>
      <c r="D36" s="68" t="s">
        <v>166</v>
      </c>
      <c r="E36" s="68" t="s">
        <v>167</v>
      </c>
      <c r="F36" s="68" t="s">
        <v>168</v>
      </c>
      <c r="G36" s="68" t="s">
        <v>169</v>
      </c>
      <c r="H36" s="167" t="s">
        <v>170</v>
      </c>
      <c r="I36" s="167"/>
    </row>
    <row r="37" spans="1:24" x14ac:dyDescent="0.85">
      <c r="A37" s="69">
        <v>1540</v>
      </c>
      <c r="B37" s="69">
        <v>90</v>
      </c>
      <c r="C37" s="70">
        <v>0.11</v>
      </c>
      <c r="D37" s="69">
        <v>1</v>
      </c>
      <c r="E37" s="69">
        <v>1</v>
      </c>
      <c r="F37" s="69">
        <v>1</v>
      </c>
      <c r="G37" s="69">
        <f>A37*C37*D37*E37*F37</f>
        <v>169.4</v>
      </c>
      <c r="H37" s="69">
        <f>B37</f>
        <v>90</v>
      </c>
      <c r="I37" s="69">
        <f>G37-I39</f>
        <v>19.400000000000006</v>
      </c>
    </row>
    <row r="38" spans="1:24" x14ac:dyDescent="0.85">
      <c r="A38" s="69">
        <v>1540</v>
      </c>
      <c r="B38" s="69">
        <v>100</v>
      </c>
      <c r="C38" s="70">
        <v>0.15</v>
      </c>
      <c r="D38" s="69">
        <v>1</v>
      </c>
      <c r="E38" s="69">
        <v>1</v>
      </c>
      <c r="F38" s="69">
        <v>1</v>
      </c>
      <c r="G38" s="69">
        <f t="shared" ref="G38:G53" si="0">A38*C38*D38*E38*F38</f>
        <v>231</v>
      </c>
      <c r="H38" s="69">
        <f>B53</f>
        <v>240</v>
      </c>
      <c r="I38" s="69">
        <f>G53-I39</f>
        <v>1775</v>
      </c>
    </row>
    <row r="39" spans="1:24" x14ac:dyDescent="0.85">
      <c r="A39" s="69">
        <v>1540</v>
      </c>
      <c r="B39" s="69">
        <v>110</v>
      </c>
      <c r="C39" s="70">
        <v>0.2</v>
      </c>
      <c r="D39" s="69">
        <v>1</v>
      </c>
      <c r="E39" s="69">
        <v>1</v>
      </c>
      <c r="F39" s="69">
        <v>1</v>
      </c>
      <c r="G39" s="69">
        <f t="shared" si="0"/>
        <v>308</v>
      </c>
      <c r="H39" s="67" t="s">
        <v>171</v>
      </c>
      <c r="I39" s="69">
        <v>150</v>
      </c>
      <c r="M39" s="72" t="s">
        <v>196</v>
      </c>
      <c r="N39" s="72"/>
      <c r="O39" s="72"/>
      <c r="P39" s="72"/>
      <c r="Q39" s="72"/>
      <c r="R39" s="72"/>
      <c r="S39" s="72"/>
      <c r="T39" s="72"/>
      <c r="U39" s="72"/>
      <c r="V39" s="72"/>
      <c r="W39" s="72"/>
      <c r="X39" s="72"/>
    </row>
    <row r="40" spans="1:24" x14ac:dyDescent="0.85">
      <c r="A40" s="69">
        <v>1540</v>
      </c>
      <c r="B40" s="69">
        <v>120</v>
      </c>
      <c r="C40" s="70">
        <v>0.26</v>
      </c>
      <c r="D40" s="69">
        <v>1</v>
      </c>
      <c r="E40" s="69">
        <v>1</v>
      </c>
      <c r="F40" s="69">
        <v>1</v>
      </c>
      <c r="G40" s="69">
        <f t="shared" si="0"/>
        <v>400.40000000000003</v>
      </c>
      <c r="M40" s="72" t="s">
        <v>188</v>
      </c>
      <c r="N40" s="72"/>
      <c r="O40" s="72"/>
      <c r="P40" s="72"/>
      <c r="Q40" s="72"/>
      <c r="R40" s="72"/>
      <c r="S40" s="72"/>
      <c r="T40" s="72"/>
      <c r="U40" s="72"/>
      <c r="V40" s="72"/>
      <c r="W40" s="72"/>
      <c r="X40" s="72"/>
    </row>
    <row r="41" spans="1:24" x14ac:dyDescent="0.85">
      <c r="A41" s="69">
        <v>1540</v>
      </c>
      <c r="B41" s="69">
        <v>130</v>
      </c>
      <c r="C41" s="70">
        <v>0.33</v>
      </c>
      <c r="D41" s="69">
        <v>1</v>
      </c>
      <c r="E41" s="69">
        <v>1</v>
      </c>
      <c r="F41" s="69">
        <v>1</v>
      </c>
      <c r="G41" s="69">
        <f t="shared" si="0"/>
        <v>508.20000000000005</v>
      </c>
      <c r="M41" s="72"/>
      <c r="N41" s="72"/>
      <c r="O41" s="72"/>
      <c r="P41" s="72"/>
      <c r="Q41" s="73" t="s">
        <v>189</v>
      </c>
      <c r="R41" s="76">
        <v>7.2</v>
      </c>
      <c r="S41" s="72" t="s">
        <v>190</v>
      </c>
      <c r="T41" s="72"/>
      <c r="U41" s="72"/>
      <c r="V41" s="72"/>
      <c r="W41" s="72"/>
      <c r="X41" s="72"/>
    </row>
    <row r="42" spans="1:24" x14ac:dyDescent="0.85">
      <c r="A42" s="69">
        <v>1540</v>
      </c>
      <c r="B42" s="69">
        <v>140</v>
      </c>
      <c r="C42" s="70">
        <v>0.4</v>
      </c>
      <c r="D42" s="69">
        <v>1</v>
      </c>
      <c r="E42" s="69">
        <v>1</v>
      </c>
      <c r="F42" s="69">
        <v>1</v>
      </c>
      <c r="G42" s="69">
        <f t="shared" si="0"/>
        <v>616</v>
      </c>
      <c r="M42" s="72"/>
      <c r="N42" s="72"/>
      <c r="O42" s="72"/>
      <c r="P42" s="72"/>
      <c r="Q42" s="73" t="s">
        <v>191</v>
      </c>
      <c r="R42" s="76">
        <v>10</v>
      </c>
      <c r="S42" s="72" t="s">
        <v>36</v>
      </c>
      <c r="T42" s="72"/>
      <c r="U42" s="72"/>
      <c r="V42" s="72"/>
      <c r="W42" s="72"/>
      <c r="X42" s="72"/>
    </row>
    <row r="43" spans="1:24" x14ac:dyDescent="0.85">
      <c r="A43" s="69">
        <v>1540</v>
      </c>
      <c r="B43" s="69">
        <v>150</v>
      </c>
      <c r="C43" s="70">
        <v>0.45</v>
      </c>
      <c r="D43" s="69">
        <v>1</v>
      </c>
      <c r="E43" s="69">
        <v>1</v>
      </c>
      <c r="F43" s="69">
        <v>1</v>
      </c>
      <c r="G43" s="69">
        <f t="shared" si="0"/>
        <v>693</v>
      </c>
      <c r="M43" s="72"/>
      <c r="N43" s="72"/>
      <c r="O43" s="72"/>
      <c r="P43" s="72"/>
      <c r="Q43" s="73" t="str">
        <f>"gpm to handle the load at a "&amp;TEXT(R42,"##")&amp;" °F ∆t - "</f>
        <v xml:space="preserve">gpm to handle the load at a 10 °F ∆t - </v>
      </c>
      <c r="R43" s="76">
        <f>$E$29/(500*R42)</f>
        <v>39.731808695652177</v>
      </c>
      <c r="S43" s="72" t="s">
        <v>190</v>
      </c>
      <c r="T43" s="72"/>
      <c r="U43" s="72"/>
      <c r="V43" s="72"/>
      <c r="W43" s="72"/>
      <c r="X43" s="72"/>
    </row>
    <row r="44" spans="1:24" x14ac:dyDescent="0.85">
      <c r="A44" s="74">
        <v>1540</v>
      </c>
      <c r="B44" s="74">
        <v>160</v>
      </c>
      <c r="C44" s="75">
        <v>0.53</v>
      </c>
      <c r="D44" s="74">
        <v>1</v>
      </c>
      <c r="E44" s="74">
        <v>1</v>
      </c>
      <c r="F44" s="74">
        <v>1</v>
      </c>
      <c r="G44" s="74">
        <f t="shared" si="0"/>
        <v>816.2</v>
      </c>
      <c r="M44" s="72"/>
      <c r="N44" s="72"/>
      <c r="O44" s="72"/>
      <c r="P44" s="72"/>
      <c r="Q44" s="73" t="s">
        <v>192</v>
      </c>
      <c r="R44" s="76">
        <f>R43/R41</f>
        <v>5.5183067632850245</v>
      </c>
      <c r="S44" s="72"/>
      <c r="T44" s="72"/>
      <c r="U44" s="72"/>
      <c r="V44" s="72"/>
      <c r="W44" s="72"/>
      <c r="X44" s="72"/>
    </row>
    <row r="45" spans="1:24" x14ac:dyDescent="0.85">
      <c r="A45" s="69">
        <v>1540</v>
      </c>
      <c r="B45" s="69">
        <v>170</v>
      </c>
      <c r="C45" s="70">
        <v>0.61</v>
      </c>
      <c r="D45" s="69">
        <v>1</v>
      </c>
      <c r="E45" s="69">
        <v>1</v>
      </c>
      <c r="F45" s="69">
        <v>1</v>
      </c>
      <c r="G45" s="69">
        <f t="shared" si="0"/>
        <v>939.4</v>
      </c>
      <c r="M45" s="72"/>
      <c r="N45" s="72"/>
      <c r="O45" s="72"/>
      <c r="P45" s="73"/>
      <c r="Q45" s="73" t="s">
        <v>193</v>
      </c>
      <c r="R45" s="76">
        <v>6</v>
      </c>
      <c r="S45" s="72"/>
      <c r="T45" s="72"/>
      <c r="U45" s="72"/>
      <c r="V45" s="72"/>
      <c r="W45" s="72"/>
      <c r="X45" s="72"/>
    </row>
    <row r="46" spans="1:24" x14ac:dyDescent="0.85">
      <c r="A46" s="69">
        <v>1540</v>
      </c>
      <c r="B46" s="69">
        <v>180</v>
      </c>
      <c r="C46" s="70">
        <v>0.69</v>
      </c>
      <c r="D46" s="69">
        <v>1</v>
      </c>
      <c r="E46" s="69">
        <v>1</v>
      </c>
      <c r="F46" s="69">
        <v>1</v>
      </c>
      <c r="G46" s="69">
        <f t="shared" si="0"/>
        <v>1062.5999999999999</v>
      </c>
      <c r="M46" s="72"/>
      <c r="N46" s="72"/>
      <c r="O46" s="72"/>
      <c r="P46" s="73"/>
      <c r="Q46" s="73" t="str">
        <f>"∆t with "&amp;TEXT(R45,"##")&amp;" circuits - "</f>
        <v xml:space="preserve">∆t with 6 circuits - </v>
      </c>
      <c r="R46" s="72">
        <f>$E$29/(500*(R45*R41))</f>
        <v>9.197177938808375</v>
      </c>
      <c r="S46" s="72" t="s">
        <v>36</v>
      </c>
      <c r="T46" s="72"/>
      <c r="U46" s="72"/>
      <c r="V46" s="72"/>
      <c r="W46" s="72"/>
      <c r="X46" s="72"/>
    </row>
    <row r="47" spans="1:24" x14ac:dyDescent="0.85">
      <c r="A47" s="69">
        <v>1540</v>
      </c>
      <c r="B47" s="69">
        <v>190</v>
      </c>
      <c r="C47" s="70">
        <v>0.78</v>
      </c>
      <c r="D47" s="69">
        <v>1</v>
      </c>
      <c r="E47" s="69">
        <v>1</v>
      </c>
      <c r="F47" s="69">
        <v>1</v>
      </c>
      <c r="G47" s="69">
        <f t="shared" si="0"/>
        <v>1201.2</v>
      </c>
      <c r="M47" s="72"/>
      <c r="N47" s="72"/>
      <c r="O47" s="72"/>
      <c r="P47" s="73"/>
      <c r="Q47" s="73" t="s">
        <v>194</v>
      </c>
      <c r="R47" s="76">
        <f>(0.5*R46)+$E$31</f>
        <v>164.59858896940418</v>
      </c>
      <c r="S47" s="72" t="s">
        <v>36</v>
      </c>
      <c r="T47" s="72"/>
      <c r="U47" s="72"/>
      <c r="V47" s="72"/>
      <c r="W47" s="72"/>
      <c r="X47" s="72"/>
    </row>
    <row r="48" spans="1:24" x14ac:dyDescent="0.85">
      <c r="A48" s="69">
        <v>1540</v>
      </c>
      <c r="B48" s="69">
        <v>200</v>
      </c>
      <c r="C48" s="70">
        <v>0.86</v>
      </c>
      <c r="D48" s="69">
        <v>1</v>
      </c>
      <c r="E48" s="69">
        <v>1</v>
      </c>
      <c r="F48" s="69">
        <v>1</v>
      </c>
      <c r="G48" s="69">
        <f t="shared" si="0"/>
        <v>1324.4</v>
      </c>
      <c r="M48" s="72"/>
      <c r="N48" s="72"/>
      <c r="O48" s="72"/>
      <c r="P48" s="73"/>
      <c r="Q48" s="73" t="s">
        <v>195</v>
      </c>
      <c r="R48" s="76">
        <f>$E$31-(0.5*R46)</f>
        <v>155.40141103059582</v>
      </c>
      <c r="S48" s="72" t="s">
        <v>36</v>
      </c>
      <c r="T48" s="72"/>
      <c r="U48" s="72"/>
      <c r="V48" s="72"/>
      <c r="W48" s="72"/>
      <c r="X48" s="72"/>
    </row>
    <row r="49" spans="1:24" x14ac:dyDescent="0.85">
      <c r="A49" s="69">
        <v>1540</v>
      </c>
      <c r="B49" s="69">
        <v>210</v>
      </c>
      <c r="C49" s="70">
        <v>0.95</v>
      </c>
      <c r="D49" s="69">
        <v>1</v>
      </c>
      <c r="E49" s="69">
        <v>1</v>
      </c>
      <c r="F49" s="69">
        <v>1</v>
      </c>
      <c r="G49" s="69">
        <f t="shared" si="0"/>
        <v>1463</v>
      </c>
      <c r="M49" s="77" t="s">
        <v>188</v>
      </c>
      <c r="N49" s="77"/>
      <c r="O49" s="77"/>
      <c r="P49" s="77"/>
      <c r="Q49" s="77"/>
      <c r="R49" s="77"/>
      <c r="S49" s="77"/>
      <c r="T49" s="77"/>
      <c r="U49" s="77"/>
      <c r="V49" s="77"/>
      <c r="W49" s="77"/>
      <c r="X49" s="77"/>
    </row>
    <row r="50" spans="1:24" x14ac:dyDescent="0.85">
      <c r="A50" s="69">
        <v>1540</v>
      </c>
      <c r="B50" s="69">
        <v>215</v>
      </c>
      <c r="C50" s="70">
        <v>1</v>
      </c>
      <c r="D50" s="69">
        <v>1</v>
      </c>
      <c r="E50" s="69">
        <v>1</v>
      </c>
      <c r="F50" s="69">
        <v>1</v>
      </c>
      <c r="G50" s="69">
        <f t="shared" si="0"/>
        <v>1540</v>
      </c>
      <c r="M50" s="77"/>
      <c r="N50" s="77"/>
      <c r="O50" s="77"/>
      <c r="P50" s="77"/>
      <c r="Q50" s="78" t="s">
        <v>189</v>
      </c>
      <c r="R50" s="79">
        <v>7.2</v>
      </c>
      <c r="S50" s="77" t="s">
        <v>190</v>
      </c>
      <c r="T50" s="77"/>
      <c r="U50" s="77"/>
      <c r="V50" s="77"/>
      <c r="W50" s="77"/>
      <c r="X50" s="77"/>
    </row>
    <row r="51" spans="1:24" x14ac:dyDescent="0.85">
      <c r="A51" s="69">
        <v>1540</v>
      </c>
      <c r="B51" s="69">
        <v>220</v>
      </c>
      <c r="C51" s="70">
        <v>1.05</v>
      </c>
      <c r="D51" s="69">
        <v>1</v>
      </c>
      <c r="E51" s="69">
        <v>1</v>
      </c>
      <c r="F51" s="69">
        <v>1</v>
      </c>
      <c r="G51" s="69">
        <f t="shared" si="0"/>
        <v>1617</v>
      </c>
      <c r="M51" s="77"/>
      <c r="N51" s="77"/>
      <c r="O51" s="77"/>
      <c r="P51" s="77"/>
      <c r="Q51" s="78" t="s">
        <v>191</v>
      </c>
      <c r="R51" s="79">
        <v>20</v>
      </c>
      <c r="S51" s="77" t="s">
        <v>36</v>
      </c>
      <c r="T51" s="77"/>
      <c r="U51" s="77"/>
      <c r="V51" s="77"/>
      <c r="W51" s="77"/>
      <c r="X51" s="77"/>
    </row>
    <row r="52" spans="1:24" x14ac:dyDescent="0.85">
      <c r="A52" s="69">
        <v>1540</v>
      </c>
      <c r="B52" s="69">
        <v>230</v>
      </c>
      <c r="C52" s="70">
        <v>1.1399999999999999</v>
      </c>
      <c r="D52" s="69">
        <v>1</v>
      </c>
      <c r="E52" s="69">
        <v>1</v>
      </c>
      <c r="F52" s="69">
        <v>1</v>
      </c>
      <c r="G52" s="69">
        <f t="shared" si="0"/>
        <v>1755.6</v>
      </c>
      <c r="M52" s="77"/>
      <c r="N52" s="77"/>
      <c r="O52" s="77"/>
      <c r="P52" s="77"/>
      <c r="Q52" s="78" t="str">
        <f>"gpm to handle the load at a "&amp;TEXT(R51,"##")&amp;" °F ∆t - "</f>
        <v xml:space="preserve">gpm to handle the load at a 20 °F ∆t - </v>
      </c>
      <c r="R52" s="79">
        <f>$E$29/(500*R51)</f>
        <v>19.865904347826088</v>
      </c>
      <c r="S52" s="77" t="s">
        <v>190</v>
      </c>
      <c r="T52" s="77"/>
      <c r="U52" s="77"/>
      <c r="V52" s="77"/>
      <c r="W52" s="77"/>
      <c r="X52" s="77"/>
    </row>
    <row r="53" spans="1:24" x14ac:dyDescent="0.85">
      <c r="A53" s="69">
        <v>1540</v>
      </c>
      <c r="B53" s="69">
        <v>240</v>
      </c>
      <c r="C53" s="70">
        <v>1.25</v>
      </c>
      <c r="D53" s="69">
        <v>1</v>
      </c>
      <c r="E53" s="69">
        <v>1</v>
      </c>
      <c r="F53" s="69">
        <v>1</v>
      </c>
      <c r="G53" s="69">
        <f t="shared" si="0"/>
        <v>1925</v>
      </c>
      <c r="M53" s="77"/>
      <c r="N53" s="77"/>
      <c r="O53" s="77"/>
      <c r="P53" s="77"/>
      <c r="Q53" s="78" t="s">
        <v>192</v>
      </c>
      <c r="R53" s="79">
        <f>R52/R50</f>
        <v>2.7591533816425122</v>
      </c>
      <c r="S53" s="77"/>
      <c r="T53" s="77"/>
      <c r="U53" s="77"/>
      <c r="V53" s="77"/>
      <c r="W53" s="77"/>
      <c r="X53" s="77"/>
    </row>
    <row r="54" spans="1:24" x14ac:dyDescent="0.85">
      <c r="A54" s="165" t="s">
        <v>172</v>
      </c>
      <c r="B54" s="165"/>
      <c r="C54" s="165"/>
      <c r="D54" s="165"/>
      <c r="E54" s="165"/>
      <c r="F54" s="165"/>
      <c r="G54" s="165"/>
      <c r="M54" s="77"/>
      <c r="N54" s="77"/>
      <c r="O54" s="77"/>
      <c r="P54" s="78"/>
      <c r="Q54" s="78" t="s">
        <v>193</v>
      </c>
      <c r="R54" s="79">
        <v>4</v>
      </c>
      <c r="S54" s="77"/>
      <c r="T54" s="77"/>
      <c r="U54" s="77"/>
      <c r="V54" s="77"/>
      <c r="W54" s="77"/>
      <c r="X54" s="77"/>
    </row>
    <row r="55" spans="1:24" ht="40" customHeight="1" x14ac:dyDescent="0.85">
      <c r="A55" s="166" t="s">
        <v>173</v>
      </c>
      <c r="B55" s="166"/>
      <c r="C55" s="166"/>
      <c r="D55" s="166"/>
      <c r="E55" s="166"/>
      <c r="F55" s="166"/>
      <c r="G55" s="166"/>
      <c r="M55" s="77"/>
      <c r="N55" s="77"/>
      <c r="O55" s="77"/>
      <c r="P55" s="78"/>
      <c r="Q55" s="78" t="str">
        <f>"∆t with "&amp;TEXT(R54,"##")&amp;" circuits - "</f>
        <v xml:space="preserve">∆t with 4 circuits - </v>
      </c>
      <c r="R55" s="77">
        <f>$E$29/(500*(R54*R50))</f>
        <v>13.795766908212562</v>
      </c>
      <c r="S55" s="77" t="s">
        <v>36</v>
      </c>
      <c r="T55" s="77"/>
      <c r="U55" s="77"/>
      <c r="V55" s="77"/>
      <c r="W55" s="77"/>
      <c r="X55" s="77"/>
    </row>
    <row r="56" spans="1:24" ht="54.9" x14ac:dyDescent="0.85">
      <c r="A56" s="68" t="s">
        <v>163</v>
      </c>
      <c r="B56" s="68" t="s">
        <v>164</v>
      </c>
      <c r="C56" s="68" t="s">
        <v>165</v>
      </c>
      <c r="D56" s="68" t="s">
        <v>166</v>
      </c>
      <c r="E56" s="68" t="s">
        <v>167</v>
      </c>
      <c r="F56" s="68" t="s">
        <v>168</v>
      </c>
      <c r="G56" s="68" t="s">
        <v>169</v>
      </c>
      <c r="M56" s="77"/>
      <c r="N56" s="77"/>
      <c r="O56" s="77"/>
      <c r="P56" s="78"/>
      <c r="Q56" s="78" t="s">
        <v>194</v>
      </c>
      <c r="R56" s="79">
        <f>(0.5*R55)+$E$31</f>
        <v>166.89788345410628</v>
      </c>
      <c r="S56" s="77" t="s">
        <v>36</v>
      </c>
      <c r="T56" s="77"/>
      <c r="U56" s="77"/>
      <c r="V56" s="77"/>
      <c r="W56" s="77"/>
      <c r="X56" s="77"/>
    </row>
    <row r="57" spans="1:24" x14ac:dyDescent="0.85">
      <c r="A57" s="69">
        <v>1540</v>
      </c>
      <c r="B57" s="69">
        <v>90</v>
      </c>
      <c r="C57" s="70">
        <v>0.11</v>
      </c>
      <c r="D57" s="70">
        <f>0.06/C57</f>
        <v>0.54545454545454541</v>
      </c>
      <c r="E57" s="70">
        <v>1</v>
      </c>
      <c r="F57" s="70">
        <v>1</v>
      </c>
      <c r="G57" s="69">
        <f>A57*C57*D57*E57*F57</f>
        <v>92.399999999999991</v>
      </c>
      <c r="M57" s="77"/>
      <c r="N57" s="77"/>
      <c r="O57" s="77"/>
      <c r="P57" s="78"/>
      <c r="Q57" s="78" t="s">
        <v>195</v>
      </c>
      <c r="R57" s="79">
        <f>$E$31-(0.5*R55)</f>
        <v>153.10211654589372</v>
      </c>
      <c r="S57" s="77" t="s">
        <v>36</v>
      </c>
      <c r="T57" s="77"/>
      <c r="U57" s="77"/>
      <c r="V57" s="77"/>
      <c r="W57" s="77"/>
      <c r="X57" s="77"/>
    </row>
    <row r="58" spans="1:24" x14ac:dyDescent="0.85">
      <c r="A58" s="69">
        <v>1540</v>
      </c>
      <c r="B58" s="69">
        <v>100</v>
      </c>
      <c r="C58" s="70">
        <v>0.15</v>
      </c>
      <c r="D58" s="70">
        <f>0.11/C58</f>
        <v>0.73333333333333339</v>
      </c>
      <c r="E58" s="70">
        <v>1</v>
      </c>
      <c r="F58" s="70">
        <v>1</v>
      </c>
      <c r="G58" s="69">
        <f t="shared" ref="G58:G73" si="1">A58*C58*D58*E58*F58</f>
        <v>169.4</v>
      </c>
    </row>
    <row r="59" spans="1:24" x14ac:dyDescent="0.85">
      <c r="A59" s="69">
        <v>1540</v>
      </c>
      <c r="B59" s="69">
        <v>110</v>
      </c>
      <c r="C59" s="70">
        <v>0.2</v>
      </c>
      <c r="D59" s="70">
        <f>0.16/C59</f>
        <v>0.79999999999999993</v>
      </c>
      <c r="E59" s="70">
        <v>1</v>
      </c>
      <c r="F59" s="70">
        <v>1</v>
      </c>
      <c r="G59" s="69">
        <f t="shared" si="1"/>
        <v>246.39999999999998</v>
      </c>
    </row>
    <row r="60" spans="1:24" x14ac:dyDescent="0.85">
      <c r="A60" s="69">
        <v>1540</v>
      </c>
      <c r="B60" s="69">
        <v>120</v>
      </c>
      <c r="C60" s="70">
        <v>0.26</v>
      </c>
      <c r="D60" s="70">
        <f>0.21/C60</f>
        <v>0.8076923076923076</v>
      </c>
      <c r="E60" s="70">
        <v>1</v>
      </c>
      <c r="F60" s="70">
        <v>1</v>
      </c>
      <c r="G60" s="69">
        <f t="shared" si="1"/>
        <v>323.39999999999998</v>
      </c>
    </row>
    <row r="61" spans="1:24" x14ac:dyDescent="0.85">
      <c r="A61" s="69">
        <v>1540</v>
      </c>
      <c r="B61" s="69">
        <v>130</v>
      </c>
      <c r="C61" s="70">
        <v>0.33</v>
      </c>
      <c r="D61" s="70">
        <f>0.28/C61</f>
        <v>0.84848484848484851</v>
      </c>
      <c r="E61" s="70">
        <v>1</v>
      </c>
      <c r="F61" s="70">
        <v>1</v>
      </c>
      <c r="G61" s="69">
        <f t="shared" si="1"/>
        <v>431.20000000000005</v>
      </c>
    </row>
    <row r="62" spans="1:24" x14ac:dyDescent="0.85">
      <c r="A62" s="69">
        <v>1540</v>
      </c>
      <c r="B62" s="69">
        <v>140</v>
      </c>
      <c r="C62" s="70">
        <v>0.4</v>
      </c>
      <c r="D62" s="70">
        <f>0.34/C62</f>
        <v>0.85</v>
      </c>
      <c r="E62" s="70">
        <v>1</v>
      </c>
      <c r="F62" s="70">
        <v>1</v>
      </c>
      <c r="G62" s="69">
        <f t="shared" si="1"/>
        <v>523.6</v>
      </c>
    </row>
    <row r="63" spans="1:24" x14ac:dyDescent="0.85">
      <c r="A63" s="69">
        <v>1540</v>
      </c>
      <c r="B63" s="69">
        <v>150</v>
      </c>
      <c r="C63" s="70">
        <v>0.45</v>
      </c>
      <c r="D63" s="70">
        <f>0.41/C63</f>
        <v>0.91111111111111098</v>
      </c>
      <c r="E63" s="70">
        <v>1</v>
      </c>
      <c r="F63" s="70">
        <v>1</v>
      </c>
      <c r="G63" s="69">
        <f t="shared" si="1"/>
        <v>631.39999999999986</v>
      </c>
    </row>
    <row r="64" spans="1:24" x14ac:dyDescent="0.85">
      <c r="A64" s="69">
        <v>1540</v>
      </c>
      <c r="B64" s="69">
        <v>160</v>
      </c>
      <c r="C64" s="70">
        <v>0.53</v>
      </c>
      <c r="D64" s="70">
        <f>0.49/C64</f>
        <v>0.92452830188679236</v>
      </c>
      <c r="E64" s="70">
        <v>1</v>
      </c>
      <c r="F64" s="70">
        <v>1</v>
      </c>
      <c r="G64" s="69">
        <f t="shared" si="1"/>
        <v>754.59999999999991</v>
      </c>
    </row>
    <row r="65" spans="1:7" x14ac:dyDescent="0.85">
      <c r="A65" s="69">
        <v>1540</v>
      </c>
      <c r="B65" s="69">
        <v>170</v>
      </c>
      <c r="C65" s="70">
        <v>0.61</v>
      </c>
      <c r="D65" s="70">
        <f>0.57/C65</f>
        <v>0.93442622950819665</v>
      </c>
      <c r="E65" s="70">
        <v>1</v>
      </c>
      <c r="F65" s="70">
        <v>1</v>
      </c>
      <c r="G65" s="69">
        <f t="shared" si="1"/>
        <v>877.8</v>
      </c>
    </row>
    <row r="66" spans="1:7" x14ac:dyDescent="0.85">
      <c r="A66" s="69">
        <v>1540</v>
      </c>
      <c r="B66" s="69">
        <v>180</v>
      </c>
      <c r="C66" s="70">
        <v>0.69</v>
      </c>
      <c r="D66" s="70">
        <f>0.65/C66</f>
        <v>0.94202898550724645</v>
      </c>
      <c r="E66" s="70">
        <v>1</v>
      </c>
      <c r="F66" s="70">
        <v>1</v>
      </c>
      <c r="G66" s="69">
        <f t="shared" si="1"/>
        <v>1001</v>
      </c>
    </row>
    <row r="67" spans="1:7" x14ac:dyDescent="0.85">
      <c r="A67" s="69">
        <v>1540</v>
      </c>
      <c r="B67" s="69">
        <v>190</v>
      </c>
      <c r="C67" s="70">
        <v>0.78</v>
      </c>
      <c r="D67" s="70">
        <f>0.73/C67</f>
        <v>0.93589743589743579</v>
      </c>
      <c r="E67" s="70">
        <v>1</v>
      </c>
      <c r="F67" s="70">
        <v>1</v>
      </c>
      <c r="G67" s="69">
        <f t="shared" si="1"/>
        <v>1124.1999999999998</v>
      </c>
    </row>
    <row r="68" spans="1:7" x14ac:dyDescent="0.85">
      <c r="A68" s="69">
        <v>1540</v>
      </c>
      <c r="B68" s="69">
        <v>200</v>
      </c>
      <c r="C68" s="70">
        <v>0.86</v>
      </c>
      <c r="D68" s="70">
        <f>0.82/C68</f>
        <v>0.95348837209302317</v>
      </c>
      <c r="E68" s="70">
        <v>1</v>
      </c>
      <c r="F68" s="70">
        <v>1</v>
      </c>
      <c r="G68" s="69">
        <f t="shared" si="1"/>
        <v>1262.8</v>
      </c>
    </row>
    <row r="69" spans="1:7" x14ac:dyDescent="0.85">
      <c r="A69" s="69">
        <v>1540</v>
      </c>
      <c r="B69" s="69">
        <v>210</v>
      </c>
      <c r="C69" s="70">
        <v>0.95</v>
      </c>
      <c r="D69" s="70">
        <f>0.91/C69</f>
        <v>0.95789473684210535</v>
      </c>
      <c r="E69" s="70">
        <v>1</v>
      </c>
      <c r="F69" s="70">
        <v>1</v>
      </c>
      <c r="G69" s="69">
        <f t="shared" si="1"/>
        <v>1401.4</v>
      </c>
    </row>
    <row r="70" spans="1:7" x14ac:dyDescent="0.85">
      <c r="A70" s="69">
        <v>1540</v>
      </c>
      <c r="B70" s="69">
        <v>215</v>
      </c>
      <c r="C70" s="70">
        <v>1</v>
      </c>
      <c r="D70" s="70">
        <f>0.95/C70</f>
        <v>0.95</v>
      </c>
      <c r="E70" s="70">
        <v>1</v>
      </c>
      <c r="F70" s="70">
        <v>1</v>
      </c>
      <c r="G70" s="69">
        <f t="shared" si="1"/>
        <v>1463</v>
      </c>
    </row>
    <row r="71" spans="1:7" x14ac:dyDescent="0.85">
      <c r="A71" s="69">
        <v>1540</v>
      </c>
      <c r="B71" s="69">
        <v>220</v>
      </c>
      <c r="C71" s="70">
        <v>1.05</v>
      </c>
      <c r="D71" s="70">
        <f>1/C71</f>
        <v>0.95238095238095233</v>
      </c>
      <c r="E71" s="70">
        <v>1</v>
      </c>
      <c r="F71" s="70">
        <v>1</v>
      </c>
      <c r="G71" s="69">
        <f t="shared" si="1"/>
        <v>1540</v>
      </c>
    </row>
    <row r="72" spans="1:7" x14ac:dyDescent="0.85">
      <c r="A72" s="69">
        <v>1540</v>
      </c>
      <c r="B72" s="69">
        <v>230</v>
      </c>
      <c r="C72" s="70">
        <v>1.1399999999999999</v>
      </c>
      <c r="D72" s="70">
        <f>1.09/C72</f>
        <v>0.95614035087719318</v>
      </c>
      <c r="E72" s="70">
        <v>1</v>
      </c>
      <c r="F72" s="70">
        <v>1</v>
      </c>
      <c r="G72" s="69">
        <f t="shared" si="1"/>
        <v>1678.6000000000004</v>
      </c>
    </row>
    <row r="73" spans="1:7" x14ac:dyDescent="0.85">
      <c r="A73" s="69">
        <v>1540</v>
      </c>
      <c r="B73" s="69">
        <v>240</v>
      </c>
      <c r="C73" s="70">
        <v>1.25</v>
      </c>
      <c r="D73" s="70">
        <f>1.19/C73</f>
        <v>0.95199999999999996</v>
      </c>
      <c r="E73" s="70">
        <v>1</v>
      </c>
      <c r="F73" s="70">
        <v>1</v>
      </c>
      <c r="G73" s="69">
        <f t="shared" si="1"/>
        <v>1832.6</v>
      </c>
    </row>
    <row r="74" spans="1:7" x14ac:dyDescent="0.85">
      <c r="A74" s="165" t="s">
        <v>174</v>
      </c>
      <c r="B74" s="165"/>
      <c r="C74" s="165"/>
      <c r="D74" s="165"/>
      <c r="E74" s="165"/>
      <c r="F74" s="165"/>
      <c r="G74" s="165"/>
    </row>
    <row r="75" spans="1:7" ht="40" customHeight="1" x14ac:dyDescent="0.85">
      <c r="A75" s="166" t="s">
        <v>175</v>
      </c>
      <c r="B75" s="166"/>
      <c r="C75" s="166"/>
      <c r="D75" s="166"/>
      <c r="E75" s="166"/>
      <c r="F75" s="166"/>
      <c r="G75" s="166"/>
    </row>
    <row r="76" spans="1:7" ht="54.9" x14ac:dyDescent="0.85">
      <c r="A76" s="68" t="s">
        <v>163</v>
      </c>
      <c r="B76" s="68" t="s">
        <v>164</v>
      </c>
      <c r="C76" s="68" t="s">
        <v>165</v>
      </c>
      <c r="D76" s="68" t="s">
        <v>166</v>
      </c>
      <c r="E76" s="68" t="s">
        <v>167</v>
      </c>
      <c r="F76" s="68" t="s">
        <v>168</v>
      </c>
      <c r="G76" s="68" t="s">
        <v>169</v>
      </c>
    </row>
    <row r="77" spans="1:7" x14ac:dyDescent="0.85">
      <c r="A77" s="69">
        <v>1540</v>
      </c>
      <c r="B77" s="69">
        <v>90</v>
      </c>
      <c r="C77" s="70">
        <v>0.11</v>
      </c>
      <c r="D77" s="70">
        <f>0.13/C77</f>
        <v>1.1818181818181819</v>
      </c>
      <c r="E77" s="70">
        <v>1</v>
      </c>
      <c r="F77" s="70">
        <v>1</v>
      </c>
      <c r="G77" s="69">
        <f>A77*C77*D77*E77*F77</f>
        <v>200.20000000000002</v>
      </c>
    </row>
    <row r="78" spans="1:7" x14ac:dyDescent="0.85">
      <c r="A78" s="69">
        <v>1540</v>
      </c>
      <c r="B78" s="69">
        <v>100</v>
      </c>
      <c r="C78" s="70">
        <v>0.15</v>
      </c>
      <c r="D78" s="70">
        <f>0.19/C78</f>
        <v>1.2666666666666668</v>
      </c>
      <c r="E78" s="70">
        <v>1</v>
      </c>
      <c r="F78" s="70">
        <v>1</v>
      </c>
      <c r="G78" s="69">
        <f t="shared" ref="G78:G93" si="2">A78*C78*D78*E78*F78</f>
        <v>292.60000000000002</v>
      </c>
    </row>
    <row r="79" spans="1:7" x14ac:dyDescent="0.85">
      <c r="A79" s="69">
        <v>1540</v>
      </c>
      <c r="B79" s="69">
        <v>110</v>
      </c>
      <c r="C79" s="70">
        <v>0.2</v>
      </c>
      <c r="D79" s="70">
        <f>0.25/C79</f>
        <v>1.25</v>
      </c>
      <c r="E79" s="70">
        <v>1</v>
      </c>
      <c r="F79" s="70">
        <v>1</v>
      </c>
      <c r="G79" s="69">
        <f t="shared" si="2"/>
        <v>385</v>
      </c>
    </row>
    <row r="80" spans="1:7" x14ac:dyDescent="0.85">
      <c r="A80" s="69">
        <v>1540</v>
      </c>
      <c r="B80" s="69">
        <v>120</v>
      </c>
      <c r="C80" s="70">
        <v>0.26</v>
      </c>
      <c r="D80" s="70">
        <f>0.31/C80</f>
        <v>1.1923076923076923</v>
      </c>
      <c r="E80" s="70">
        <v>1</v>
      </c>
      <c r="F80" s="70">
        <v>1</v>
      </c>
      <c r="G80" s="69">
        <f t="shared" si="2"/>
        <v>477.40000000000003</v>
      </c>
    </row>
    <row r="81" spans="1:7" x14ac:dyDescent="0.85">
      <c r="A81" s="69">
        <v>1540</v>
      </c>
      <c r="B81" s="69">
        <v>130</v>
      </c>
      <c r="C81" s="70">
        <v>0.33</v>
      </c>
      <c r="D81" s="70">
        <f>0.38/C81</f>
        <v>1.1515151515151514</v>
      </c>
      <c r="E81" s="70">
        <v>1</v>
      </c>
      <c r="F81" s="70">
        <v>1</v>
      </c>
      <c r="G81" s="69">
        <f t="shared" si="2"/>
        <v>585.19999999999993</v>
      </c>
    </row>
    <row r="82" spans="1:7" x14ac:dyDescent="0.85">
      <c r="A82" s="69">
        <v>1540</v>
      </c>
      <c r="B82" s="69">
        <v>140</v>
      </c>
      <c r="C82" s="70">
        <v>0.4</v>
      </c>
      <c r="D82" s="70">
        <f>0.45/C82</f>
        <v>1.125</v>
      </c>
      <c r="E82" s="70">
        <v>1</v>
      </c>
      <c r="F82" s="70">
        <v>1</v>
      </c>
      <c r="G82" s="69">
        <f t="shared" si="2"/>
        <v>693</v>
      </c>
    </row>
    <row r="83" spans="1:7" x14ac:dyDescent="0.85">
      <c r="A83" s="69">
        <v>1540</v>
      </c>
      <c r="B83" s="69">
        <v>150</v>
      </c>
      <c r="C83" s="70">
        <v>0.45</v>
      </c>
      <c r="D83" s="70">
        <f>0.53/C83</f>
        <v>1.1777777777777778</v>
      </c>
      <c r="E83" s="70">
        <v>1</v>
      </c>
      <c r="F83" s="70">
        <v>1</v>
      </c>
      <c r="G83" s="69">
        <f t="shared" si="2"/>
        <v>816.2</v>
      </c>
    </row>
    <row r="84" spans="1:7" x14ac:dyDescent="0.85">
      <c r="A84" s="69">
        <v>1540</v>
      </c>
      <c r="B84" s="69">
        <v>160</v>
      </c>
      <c r="C84" s="70">
        <v>0.53</v>
      </c>
      <c r="D84" s="70">
        <f>0.61/C84</f>
        <v>1.1509433962264151</v>
      </c>
      <c r="E84" s="70">
        <v>1</v>
      </c>
      <c r="F84" s="70">
        <v>1</v>
      </c>
      <c r="G84" s="69">
        <f t="shared" si="2"/>
        <v>939.4</v>
      </c>
    </row>
    <row r="85" spans="1:7" x14ac:dyDescent="0.85">
      <c r="A85" s="69">
        <v>1540</v>
      </c>
      <c r="B85" s="69">
        <v>170</v>
      </c>
      <c r="C85" s="70">
        <v>0.61</v>
      </c>
      <c r="D85" s="70">
        <f>0.69/C85</f>
        <v>1.1311475409836065</v>
      </c>
      <c r="E85" s="70">
        <v>1</v>
      </c>
      <c r="F85" s="70">
        <v>1</v>
      </c>
      <c r="G85" s="69">
        <f t="shared" si="2"/>
        <v>1062.5999999999999</v>
      </c>
    </row>
    <row r="86" spans="1:7" x14ac:dyDescent="0.85">
      <c r="A86" s="69">
        <v>1540</v>
      </c>
      <c r="B86" s="69">
        <v>180</v>
      </c>
      <c r="C86" s="70">
        <v>0.69</v>
      </c>
      <c r="D86" s="70">
        <f>0.77/C86</f>
        <v>1.1159420289855073</v>
      </c>
      <c r="E86" s="70">
        <v>1</v>
      </c>
      <c r="F86" s="70">
        <v>1</v>
      </c>
      <c r="G86" s="69">
        <f t="shared" si="2"/>
        <v>1185.8</v>
      </c>
    </row>
    <row r="87" spans="1:7" x14ac:dyDescent="0.85">
      <c r="A87" s="69">
        <v>1540</v>
      </c>
      <c r="B87" s="69">
        <v>190</v>
      </c>
      <c r="C87" s="70">
        <v>0.78</v>
      </c>
      <c r="D87" s="70">
        <f>0.86/C87</f>
        <v>1.1025641025641024</v>
      </c>
      <c r="E87" s="70">
        <v>1</v>
      </c>
      <c r="F87" s="70">
        <v>1</v>
      </c>
      <c r="G87" s="69">
        <f t="shared" si="2"/>
        <v>1324.3999999999999</v>
      </c>
    </row>
    <row r="88" spans="1:7" x14ac:dyDescent="0.85">
      <c r="A88" s="69">
        <v>1540</v>
      </c>
      <c r="B88" s="69">
        <v>200</v>
      </c>
      <c r="C88" s="70">
        <v>0.86</v>
      </c>
      <c r="D88" s="70">
        <f>0.95/C88</f>
        <v>1.1046511627906976</v>
      </c>
      <c r="E88" s="70">
        <v>1</v>
      </c>
      <c r="F88" s="70">
        <v>1</v>
      </c>
      <c r="G88" s="69">
        <f t="shared" si="2"/>
        <v>1463</v>
      </c>
    </row>
    <row r="89" spans="1:7" x14ac:dyDescent="0.85">
      <c r="A89" s="69">
        <v>1540</v>
      </c>
      <c r="B89" s="69">
        <v>210</v>
      </c>
      <c r="C89" s="70">
        <v>0.95</v>
      </c>
      <c r="D89" s="70">
        <f>1.05/C89</f>
        <v>1.1052631578947369</v>
      </c>
      <c r="E89" s="70">
        <v>1</v>
      </c>
      <c r="F89" s="70">
        <v>1</v>
      </c>
      <c r="G89" s="69">
        <f t="shared" si="2"/>
        <v>1617.0000000000002</v>
      </c>
    </row>
    <row r="90" spans="1:7" x14ac:dyDescent="0.85">
      <c r="A90" s="69">
        <v>1540</v>
      </c>
      <c r="B90" s="69">
        <v>215</v>
      </c>
      <c r="C90" s="70">
        <v>1</v>
      </c>
      <c r="D90" s="70">
        <f>1.09/C90</f>
        <v>1.0900000000000001</v>
      </c>
      <c r="E90" s="70">
        <v>1</v>
      </c>
      <c r="F90" s="70">
        <v>1</v>
      </c>
      <c r="G90" s="69">
        <f t="shared" si="2"/>
        <v>1678.6000000000001</v>
      </c>
    </row>
    <row r="91" spans="1:7" x14ac:dyDescent="0.85">
      <c r="A91" s="69">
        <v>1540</v>
      </c>
      <c r="B91" s="69">
        <v>220</v>
      </c>
      <c r="C91" s="70">
        <v>1.05</v>
      </c>
      <c r="D91" s="70">
        <f>1.14/C91</f>
        <v>1.0857142857142856</v>
      </c>
      <c r="E91" s="70">
        <v>1</v>
      </c>
      <c r="F91" s="70">
        <v>1</v>
      </c>
      <c r="G91" s="69">
        <f t="shared" si="2"/>
        <v>1755.6</v>
      </c>
    </row>
    <row r="92" spans="1:7" x14ac:dyDescent="0.85">
      <c r="A92" s="69">
        <v>1540</v>
      </c>
      <c r="B92" s="69">
        <v>230</v>
      </c>
      <c r="C92" s="70">
        <v>1.1399999999999999</v>
      </c>
      <c r="D92" s="70">
        <f>1.24/C92</f>
        <v>1.0877192982456141</v>
      </c>
      <c r="E92" s="70">
        <v>1</v>
      </c>
      <c r="F92" s="70">
        <v>1</v>
      </c>
      <c r="G92" s="69">
        <f t="shared" si="2"/>
        <v>1909.6</v>
      </c>
    </row>
    <row r="93" spans="1:7" x14ac:dyDescent="0.85">
      <c r="A93" s="69">
        <v>1540</v>
      </c>
      <c r="B93" s="69">
        <v>240</v>
      </c>
      <c r="C93" s="70">
        <v>1.25</v>
      </c>
      <c r="D93" s="70">
        <f>1.34/C93</f>
        <v>1.0720000000000001</v>
      </c>
      <c r="E93" s="70">
        <v>1</v>
      </c>
      <c r="F93" s="70">
        <v>1</v>
      </c>
      <c r="G93" s="69">
        <f t="shared" si="2"/>
        <v>2063.6</v>
      </c>
    </row>
    <row r="94" spans="1:7" x14ac:dyDescent="0.85">
      <c r="A94" s="165" t="s">
        <v>176</v>
      </c>
      <c r="B94" s="165"/>
      <c r="C94" s="165"/>
      <c r="D94" s="165"/>
      <c r="E94" s="165"/>
      <c r="F94" s="165"/>
      <c r="G94" s="165"/>
    </row>
    <row r="95" spans="1:7" ht="40" customHeight="1" x14ac:dyDescent="0.85">
      <c r="A95" s="166" t="s">
        <v>162</v>
      </c>
      <c r="B95" s="166"/>
      <c r="C95" s="166"/>
      <c r="D95" s="166"/>
      <c r="E95" s="166"/>
      <c r="F95" s="166"/>
      <c r="G95" s="166"/>
    </row>
    <row r="96" spans="1:7" ht="54.9" x14ac:dyDescent="0.85">
      <c r="A96" s="68" t="s">
        <v>163</v>
      </c>
      <c r="B96" s="68" t="s">
        <v>164</v>
      </c>
      <c r="C96" s="68" t="s">
        <v>165</v>
      </c>
      <c r="D96" s="68" t="s">
        <v>166</v>
      </c>
      <c r="E96" s="68" t="s">
        <v>167</v>
      </c>
      <c r="F96" s="68" t="s">
        <v>168</v>
      </c>
      <c r="G96" s="68" t="s">
        <v>169</v>
      </c>
    </row>
    <row r="97" spans="1:7" x14ac:dyDescent="0.85">
      <c r="A97" s="69">
        <v>1540</v>
      </c>
      <c r="B97" s="69">
        <v>90</v>
      </c>
      <c r="C97" s="70">
        <v>0.11</v>
      </c>
      <c r="D97" s="70">
        <v>1</v>
      </c>
      <c r="E97" s="70">
        <v>0.97299999999999998</v>
      </c>
      <c r="F97" s="70">
        <v>1</v>
      </c>
      <c r="G97" s="69">
        <f>A97*C97*D97*E97*F97</f>
        <v>164.8262</v>
      </c>
    </row>
    <row r="98" spans="1:7" x14ac:dyDescent="0.85">
      <c r="A98" s="69">
        <v>1540</v>
      </c>
      <c r="B98" s="69">
        <v>100</v>
      </c>
      <c r="C98" s="70">
        <v>0.15</v>
      </c>
      <c r="D98" s="70">
        <v>1</v>
      </c>
      <c r="E98" s="70">
        <f>E97</f>
        <v>0.97299999999999998</v>
      </c>
      <c r="F98" s="70">
        <v>1</v>
      </c>
      <c r="G98" s="69">
        <f t="shared" ref="G98:G113" si="3">A98*C98*D98*E98*F98</f>
        <v>224.76300000000001</v>
      </c>
    </row>
    <row r="99" spans="1:7" x14ac:dyDescent="0.85">
      <c r="A99" s="69">
        <v>1540</v>
      </c>
      <c r="B99" s="69">
        <v>110</v>
      </c>
      <c r="C99" s="70">
        <v>0.2</v>
      </c>
      <c r="D99" s="70">
        <v>1</v>
      </c>
      <c r="E99" s="70">
        <f t="shared" ref="E99:E113" si="4">E98</f>
        <v>0.97299999999999998</v>
      </c>
      <c r="F99" s="70">
        <v>1</v>
      </c>
      <c r="G99" s="69">
        <f t="shared" si="3"/>
        <v>299.68399999999997</v>
      </c>
    </row>
    <row r="100" spans="1:7" x14ac:dyDescent="0.85">
      <c r="A100" s="69">
        <v>1540</v>
      </c>
      <c r="B100" s="69">
        <v>120</v>
      </c>
      <c r="C100" s="70">
        <v>0.26</v>
      </c>
      <c r="D100" s="70">
        <v>1</v>
      </c>
      <c r="E100" s="70">
        <f t="shared" si="4"/>
        <v>0.97299999999999998</v>
      </c>
      <c r="F100" s="70">
        <v>1</v>
      </c>
      <c r="G100" s="69">
        <f t="shared" si="3"/>
        <v>389.58920000000001</v>
      </c>
    </row>
    <row r="101" spans="1:7" x14ac:dyDescent="0.85">
      <c r="A101" s="69">
        <v>1540</v>
      </c>
      <c r="B101" s="69">
        <v>130</v>
      </c>
      <c r="C101" s="70">
        <v>0.33</v>
      </c>
      <c r="D101" s="70">
        <v>1</v>
      </c>
      <c r="E101" s="70">
        <f t="shared" si="4"/>
        <v>0.97299999999999998</v>
      </c>
      <c r="F101" s="70">
        <v>1</v>
      </c>
      <c r="G101" s="69">
        <f t="shared" si="3"/>
        <v>494.47860000000003</v>
      </c>
    </row>
    <row r="102" spans="1:7" x14ac:dyDescent="0.85">
      <c r="A102" s="69">
        <v>1540</v>
      </c>
      <c r="B102" s="69">
        <v>140</v>
      </c>
      <c r="C102" s="70">
        <v>0.4</v>
      </c>
      <c r="D102" s="70">
        <v>1</v>
      </c>
      <c r="E102" s="70">
        <f t="shared" si="4"/>
        <v>0.97299999999999998</v>
      </c>
      <c r="F102" s="70">
        <v>1</v>
      </c>
      <c r="G102" s="69">
        <f t="shared" si="3"/>
        <v>599.36799999999994</v>
      </c>
    </row>
    <row r="103" spans="1:7" x14ac:dyDescent="0.85">
      <c r="A103" s="69">
        <v>1540</v>
      </c>
      <c r="B103" s="69">
        <v>150</v>
      </c>
      <c r="C103" s="70">
        <v>0.45</v>
      </c>
      <c r="D103" s="70">
        <v>1</v>
      </c>
      <c r="E103" s="70">
        <f t="shared" si="4"/>
        <v>0.97299999999999998</v>
      </c>
      <c r="F103" s="70">
        <v>1</v>
      </c>
      <c r="G103" s="69">
        <f t="shared" si="3"/>
        <v>674.28899999999999</v>
      </c>
    </row>
    <row r="104" spans="1:7" x14ac:dyDescent="0.85">
      <c r="A104" s="69">
        <v>1540</v>
      </c>
      <c r="B104" s="69">
        <v>160</v>
      </c>
      <c r="C104" s="70">
        <v>0.53</v>
      </c>
      <c r="D104" s="70">
        <v>1</v>
      </c>
      <c r="E104" s="70">
        <f t="shared" si="4"/>
        <v>0.97299999999999998</v>
      </c>
      <c r="F104" s="70">
        <v>1</v>
      </c>
      <c r="G104" s="69">
        <f t="shared" si="3"/>
        <v>794.1626</v>
      </c>
    </row>
    <row r="105" spans="1:7" x14ac:dyDescent="0.85">
      <c r="A105" s="69">
        <v>1540</v>
      </c>
      <c r="B105" s="69">
        <v>170</v>
      </c>
      <c r="C105" s="70">
        <v>0.61</v>
      </c>
      <c r="D105" s="70">
        <v>1</v>
      </c>
      <c r="E105" s="70">
        <f t="shared" si="4"/>
        <v>0.97299999999999998</v>
      </c>
      <c r="F105" s="70">
        <v>1</v>
      </c>
      <c r="G105" s="69">
        <f t="shared" si="3"/>
        <v>914.03620000000001</v>
      </c>
    </row>
    <row r="106" spans="1:7" x14ac:dyDescent="0.85">
      <c r="A106" s="69">
        <v>1540</v>
      </c>
      <c r="B106" s="69">
        <v>180</v>
      </c>
      <c r="C106" s="70">
        <v>0.69</v>
      </c>
      <c r="D106" s="70">
        <v>1</v>
      </c>
      <c r="E106" s="70">
        <f t="shared" si="4"/>
        <v>0.97299999999999998</v>
      </c>
      <c r="F106" s="70">
        <v>1</v>
      </c>
      <c r="G106" s="69">
        <f t="shared" si="3"/>
        <v>1033.9097999999999</v>
      </c>
    </row>
    <row r="107" spans="1:7" x14ac:dyDescent="0.85">
      <c r="A107" s="69">
        <v>1540</v>
      </c>
      <c r="B107" s="69">
        <v>190</v>
      </c>
      <c r="C107" s="70">
        <v>0.78</v>
      </c>
      <c r="D107" s="70">
        <v>1</v>
      </c>
      <c r="E107" s="70">
        <f t="shared" si="4"/>
        <v>0.97299999999999998</v>
      </c>
      <c r="F107" s="70">
        <v>1</v>
      </c>
      <c r="G107" s="69">
        <f t="shared" si="3"/>
        <v>1168.7675999999999</v>
      </c>
    </row>
    <row r="108" spans="1:7" x14ac:dyDescent="0.85">
      <c r="A108" s="69">
        <v>1540</v>
      </c>
      <c r="B108" s="69">
        <v>200</v>
      </c>
      <c r="C108" s="70">
        <v>0.86</v>
      </c>
      <c r="D108" s="70">
        <v>1</v>
      </c>
      <c r="E108" s="70">
        <f t="shared" si="4"/>
        <v>0.97299999999999998</v>
      </c>
      <c r="F108" s="70">
        <v>1</v>
      </c>
      <c r="G108" s="69">
        <f t="shared" si="3"/>
        <v>1288.6412</v>
      </c>
    </row>
    <row r="109" spans="1:7" x14ac:dyDescent="0.85">
      <c r="A109" s="69">
        <v>1540</v>
      </c>
      <c r="B109" s="69">
        <v>210</v>
      </c>
      <c r="C109" s="70">
        <v>0.95</v>
      </c>
      <c r="D109" s="70">
        <v>1</v>
      </c>
      <c r="E109" s="70">
        <f t="shared" si="4"/>
        <v>0.97299999999999998</v>
      </c>
      <c r="F109" s="70">
        <v>1</v>
      </c>
      <c r="G109" s="69">
        <f t="shared" si="3"/>
        <v>1423.499</v>
      </c>
    </row>
    <row r="110" spans="1:7" x14ac:dyDescent="0.85">
      <c r="A110" s="69">
        <v>1540</v>
      </c>
      <c r="B110" s="69">
        <v>215</v>
      </c>
      <c r="C110" s="70">
        <v>1</v>
      </c>
      <c r="D110" s="70">
        <v>1</v>
      </c>
      <c r="E110" s="70">
        <f t="shared" si="4"/>
        <v>0.97299999999999998</v>
      </c>
      <c r="F110" s="70">
        <v>1</v>
      </c>
      <c r="G110" s="69">
        <f t="shared" si="3"/>
        <v>1498.42</v>
      </c>
    </row>
    <row r="111" spans="1:7" x14ac:dyDescent="0.85">
      <c r="A111" s="69">
        <v>1540</v>
      </c>
      <c r="B111" s="69">
        <v>220</v>
      </c>
      <c r="C111" s="70">
        <v>1.05</v>
      </c>
      <c r="D111" s="70">
        <v>1</v>
      </c>
      <c r="E111" s="70">
        <f t="shared" si="4"/>
        <v>0.97299999999999998</v>
      </c>
      <c r="F111" s="70">
        <v>1</v>
      </c>
      <c r="G111" s="69">
        <f t="shared" si="3"/>
        <v>1573.3409999999999</v>
      </c>
    </row>
    <row r="112" spans="1:7" x14ac:dyDescent="0.85">
      <c r="A112" s="69">
        <v>1540</v>
      </c>
      <c r="B112" s="69">
        <v>230</v>
      </c>
      <c r="C112" s="70">
        <v>1.1399999999999999</v>
      </c>
      <c r="D112" s="70">
        <v>1</v>
      </c>
      <c r="E112" s="70">
        <f t="shared" si="4"/>
        <v>0.97299999999999998</v>
      </c>
      <c r="F112" s="70">
        <v>1</v>
      </c>
      <c r="G112" s="69">
        <f t="shared" si="3"/>
        <v>1708.1987999999999</v>
      </c>
    </row>
    <row r="113" spans="1:7" x14ac:dyDescent="0.85">
      <c r="A113" s="69">
        <v>1540</v>
      </c>
      <c r="B113" s="69">
        <v>240</v>
      </c>
      <c r="C113" s="70">
        <v>1.25</v>
      </c>
      <c r="D113" s="70">
        <v>1</v>
      </c>
      <c r="E113" s="70">
        <f t="shared" si="4"/>
        <v>0.97299999999999998</v>
      </c>
      <c r="F113" s="70">
        <v>1</v>
      </c>
      <c r="G113" s="69">
        <f t="shared" si="3"/>
        <v>1873.0249999999999</v>
      </c>
    </row>
    <row r="114" spans="1:7" x14ac:dyDescent="0.85">
      <c r="A114" s="165" t="s">
        <v>176</v>
      </c>
      <c r="B114" s="165"/>
      <c r="C114" s="165"/>
      <c r="D114" s="165"/>
      <c r="E114" s="165"/>
      <c r="F114" s="165"/>
      <c r="G114" s="165"/>
    </row>
    <row r="115" spans="1:7" ht="40" customHeight="1" x14ac:dyDescent="0.85">
      <c r="A115" s="166" t="s">
        <v>162</v>
      </c>
      <c r="B115" s="166"/>
      <c r="C115" s="166"/>
      <c r="D115" s="166"/>
      <c r="E115" s="166"/>
      <c r="F115" s="166"/>
      <c r="G115" s="166"/>
    </row>
    <row r="116" spans="1:7" ht="54.9" x14ac:dyDescent="0.85">
      <c r="A116" s="68" t="s">
        <v>163</v>
      </c>
      <c r="B116" s="68" t="s">
        <v>164</v>
      </c>
      <c r="C116" s="68" t="s">
        <v>165</v>
      </c>
      <c r="D116" s="68" t="s">
        <v>166</v>
      </c>
      <c r="E116" s="68" t="s">
        <v>167</v>
      </c>
      <c r="F116" s="68" t="s">
        <v>168</v>
      </c>
      <c r="G116" s="68" t="s">
        <v>169</v>
      </c>
    </row>
    <row r="117" spans="1:7" x14ac:dyDescent="0.85">
      <c r="A117" s="69">
        <v>1540</v>
      </c>
      <c r="B117" s="69">
        <v>90</v>
      </c>
      <c r="C117" s="70">
        <v>0.11</v>
      </c>
      <c r="D117" s="70">
        <v>1</v>
      </c>
      <c r="E117" s="70">
        <v>0.97299999999999998</v>
      </c>
      <c r="F117" s="70">
        <v>1</v>
      </c>
      <c r="G117" s="69">
        <f>A117*C117*D117*E117*F117</f>
        <v>164.8262</v>
      </c>
    </row>
    <row r="118" spans="1:7" x14ac:dyDescent="0.85">
      <c r="A118" s="69">
        <v>1540</v>
      </c>
      <c r="B118" s="69">
        <v>100</v>
      </c>
      <c r="C118" s="70">
        <v>0.15</v>
      </c>
      <c r="D118" s="70">
        <v>1</v>
      </c>
      <c r="E118" s="70">
        <f>E117</f>
        <v>0.97299999999999998</v>
      </c>
      <c r="F118" s="70">
        <v>1</v>
      </c>
      <c r="G118" s="69">
        <f t="shared" ref="G118:G133" si="5">A118*C118*D118*E118*F118</f>
        <v>224.76300000000001</v>
      </c>
    </row>
    <row r="119" spans="1:7" x14ac:dyDescent="0.85">
      <c r="A119" s="69">
        <v>1540</v>
      </c>
      <c r="B119" s="69">
        <v>110</v>
      </c>
      <c r="C119" s="70">
        <v>0.2</v>
      </c>
      <c r="D119" s="70">
        <v>1</v>
      </c>
      <c r="E119" s="70">
        <f t="shared" ref="E119:E133" si="6">E118</f>
        <v>0.97299999999999998</v>
      </c>
      <c r="F119" s="70">
        <v>1</v>
      </c>
      <c r="G119" s="69">
        <f t="shared" si="5"/>
        <v>299.68399999999997</v>
      </c>
    </row>
    <row r="120" spans="1:7" x14ac:dyDescent="0.85">
      <c r="A120" s="69">
        <v>1540</v>
      </c>
      <c r="B120" s="69">
        <v>120</v>
      </c>
      <c r="C120" s="70">
        <v>0.26</v>
      </c>
      <c r="D120" s="70">
        <v>1</v>
      </c>
      <c r="E120" s="70">
        <f t="shared" si="6"/>
        <v>0.97299999999999998</v>
      </c>
      <c r="F120" s="70">
        <v>1</v>
      </c>
      <c r="G120" s="69">
        <f t="shared" si="5"/>
        <v>389.58920000000001</v>
      </c>
    </row>
    <row r="121" spans="1:7" x14ac:dyDescent="0.85">
      <c r="A121" s="69">
        <v>1540</v>
      </c>
      <c r="B121" s="69">
        <v>130</v>
      </c>
      <c r="C121" s="70">
        <v>0.33</v>
      </c>
      <c r="D121" s="70">
        <v>1</v>
      </c>
      <c r="E121" s="70">
        <f t="shared" si="6"/>
        <v>0.97299999999999998</v>
      </c>
      <c r="F121" s="70">
        <v>1</v>
      </c>
      <c r="G121" s="69">
        <f t="shared" si="5"/>
        <v>494.47860000000003</v>
      </c>
    </row>
    <row r="122" spans="1:7" x14ac:dyDescent="0.85">
      <c r="A122" s="69">
        <v>1540</v>
      </c>
      <c r="B122" s="69">
        <v>140</v>
      </c>
      <c r="C122" s="70">
        <v>0.4</v>
      </c>
      <c r="D122" s="70">
        <v>1</v>
      </c>
      <c r="E122" s="70">
        <f t="shared" si="6"/>
        <v>0.97299999999999998</v>
      </c>
      <c r="F122" s="70">
        <v>1</v>
      </c>
      <c r="G122" s="69">
        <f t="shared" si="5"/>
        <v>599.36799999999994</v>
      </c>
    </row>
    <row r="123" spans="1:7" x14ac:dyDescent="0.85">
      <c r="A123" s="69">
        <v>1540</v>
      </c>
      <c r="B123" s="69">
        <v>150</v>
      </c>
      <c r="C123" s="70">
        <v>0.45</v>
      </c>
      <c r="D123" s="70">
        <v>1</v>
      </c>
      <c r="E123" s="70">
        <f t="shared" si="6"/>
        <v>0.97299999999999998</v>
      </c>
      <c r="F123" s="70">
        <v>1</v>
      </c>
      <c r="G123" s="69">
        <f t="shared" si="5"/>
        <v>674.28899999999999</v>
      </c>
    </row>
    <row r="124" spans="1:7" x14ac:dyDescent="0.85">
      <c r="A124" s="69">
        <v>1540</v>
      </c>
      <c r="B124" s="69">
        <v>160</v>
      </c>
      <c r="C124" s="70">
        <v>0.53</v>
      </c>
      <c r="D124" s="70">
        <v>1</v>
      </c>
      <c r="E124" s="70">
        <f t="shared" si="6"/>
        <v>0.97299999999999998</v>
      </c>
      <c r="F124" s="70">
        <v>1</v>
      </c>
      <c r="G124" s="69">
        <f t="shared" si="5"/>
        <v>794.1626</v>
      </c>
    </row>
    <row r="125" spans="1:7" x14ac:dyDescent="0.85">
      <c r="A125" s="69">
        <v>1540</v>
      </c>
      <c r="B125" s="69">
        <v>170</v>
      </c>
      <c r="C125" s="70">
        <v>0.61</v>
      </c>
      <c r="D125" s="70">
        <v>1</v>
      </c>
      <c r="E125" s="70">
        <f t="shared" si="6"/>
        <v>0.97299999999999998</v>
      </c>
      <c r="F125" s="70">
        <v>1</v>
      </c>
      <c r="G125" s="69">
        <f t="shared" si="5"/>
        <v>914.03620000000001</v>
      </c>
    </row>
    <row r="126" spans="1:7" x14ac:dyDescent="0.85">
      <c r="A126" s="69">
        <v>1540</v>
      </c>
      <c r="B126" s="69">
        <v>180</v>
      </c>
      <c r="C126" s="70">
        <v>0.69</v>
      </c>
      <c r="D126" s="70">
        <v>1</v>
      </c>
      <c r="E126" s="70">
        <f t="shared" si="6"/>
        <v>0.97299999999999998</v>
      </c>
      <c r="F126" s="70">
        <v>1</v>
      </c>
      <c r="G126" s="69">
        <f t="shared" si="5"/>
        <v>1033.9097999999999</v>
      </c>
    </row>
    <row r="127" spans="1:7" x14ac:dyDescent="0.85">
      <c r="A127" s="69">
        <v>1540</v>
      </c>
      <c r="B127" s="69">
        <v>190</v>
      </c>
      <c r="C127" s="70">
        <v>0.78</v>
      </c>
      <c r="D127" s="70">
        <v>1</v>
      </c>
      <c r="E127" s="70">
        <f t="shared" si="6"/>
        <v>0.97299999999999998</v>
      </c>
      <c r="F127" s="70">
        <v>1</v>
      </c>
      <c r="G127" s="69">
        <f t="shared" si="5"/>
        <v>1168.7675999999999</v>
      </c>
    </row>
    <row r="128" spans="1:7" x14ac:dyDescent="0.85">
      <c r="A128" s="69">
        <v>1540</v>
      </c>
      <c r="B128" s="69">
        <v>200</v>
      </c>
      <c r="C128" s="70">
        <v>0.86</v>
      </c>
      <c r="D128" s="70">
        <v>1</v>
      </c>
      <c r="E128" s="70">
        <f t="shared" si="6"/>
        <v>0.97299999999999998</v>
      </c>
      <c r="F128" s="70">
        <v>1</v>
      </c>
      <c r="G128" s="69">
        <f t="shared" si="5"/>
        <v>1288.6412</v>
      </c>
    </row>
    <row r="129" spans="1:7" x14ac:dyDescent="0.85">
      <c r="A129" s="69">
        <v>1540</v>
      </c>
      <c r="B129" s="69">
        <v>210</v>
      </c>
      <c r="C129" s="70">
        <v>0.95</v>
      </c>
      <c r="D129" s="70">
        <v>1</v>
      </c>
      <c r="E129" s="70">
        <f t="shared" si="6"/>
        <v>0.97299999999999998</v>
      </c>
      <c r="F129" s="70">
        <v>1</v>
      </c>
      <c r="G129" s="69">
        <f t="shared" si="5"/>
        <v>1423.499</v>
      </c>
    </row>
    <row r="130" spans="1:7" x14ac:dyDescent="0.85">
      <c r="A130" s="69">
        <v>1540</v>
      </c>
      <c r="B130" s="69">
        <v>215</v>
      </c>
      <c r="C130" s="70">
        <v>1</v>
      </c>
      <c r="D130" s="70">
        <v>1</v>
      </c>
      <c r="E130" s="70">
        <f t="shared" si="6"/>
        <v>0.97299999999999998</v>
      </c>
      <c r="F130" s="70">
        <v>1</v>
      </c>
      <c r="G130" s="69">
        <f t="shared" si="5"/>
        <v>1498.42</v>
      </c>
    </row>
    <row r="131" spans="1:7" x14ac:dyDescent="0.85">
      <c r="A131" s="69">
        <v>1540</v>
      </c>
      <c r="B131" s="69">
        <v>220</v>
      </c>
      <c r="C131" s="70">
        <v>1.05</v>
      </c>
      <c r="D131" s="70">
        <v>1</v>
      </c>
      <c r="E131" s="70">
        <f t="shared" si="6"/>
        <v>0.97299999999999998</v>
      </c>
      <c r="F131" s="70">
        <v>1</v>
      </c>
      <c r="G131" s="69">
        <f t="shared" si="5"/>
        <v>1573.3409999999999</v>
      </c>
    </row>
    <row r="132" spans="1:7" x14ac:dyDescent="0.85">
      <c r="A132" s="69">
        <v>1540</v>
      </c>
      <c r="B132" s="69">
        <v>230</v>
      </c>
      <c r="C132" s="70">
        <v>1.1399999999999999</v>
      </c>
      <c r="D132" s="70">
        <v>1</v>
      </c>
      <c r="E132" s="70">
        <f t="shared" si="6"/>
        <v>0.97299999999999998</v>
      </c>
      <c r="F132" s="70">
        <v>1</v>
      </c>
      <c r="G132" s="69">
        <f t="shared" si="5"/>
        <v>1708.1987999999999</v>
      </c>
    </row>
    <row r="133" spans="1:7" x14ac:dyDescent="0.85">
      <c r="A133" s="69">
        <v>1540</v>
      </c>
      <c r="B133" s="69">
        <v>240</v>
      </c>
      <c r="C133" s="70">
        <v>1.25</v>
      </c>
      <c r="D133" s="70">
        <v>1</v>
      </c>
      <c r="E133" s="70">
        <f t="shared" si="6"/>
        <v>0.97299999999999998</v>
      </c>
      <c r="F133" s="70">
        <v>1</v>
      </c>
      <c r="G133" s="69">
        <f t="shared" si="5"/>
        <v>1873.0249999999999</v>
      </c>
    </row>
  </sheetData>
  <mergeCells count="11">
    <mergeCell ref="A75:G75"/>
    <mergeCell ref="A94:G94"/>
    <mergeCell ref="A95:G95"/>
    <mergeCell ref="A114:G114"/>
    <mergeCell ref="A115:G115"/>
    <mergeCell ref="A74:G74"/>
    <mergeCell ref="A34:G34"/>
    <mergeCell ref="A35:G35"/>
    <mergeCell ref="H36:I36"/>
    <mergeCell ref="A54:G54"/>
    <mergeCell ref="A55:G55"/>
  </mergeCells>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Equation.DSMT4" shapeId="3073" r:id="rId4">
          <objectPr defaultSize="0" r:id="rId5">
            <anchor moveWithCells="1">
              <from>
                <xdr:col>0</xdr:col>
                <xdr:colOff>0</xdr:colOff>
                <xdr:row>0</xdr:row>
                <xdr:rowOff>0</xdr:rowOff>
              </from>
              <to>
                <xdr:col>7</xdr:col>
                <xdr:colOff>259080</xdr:colOff>
                <xdr:row>25</xdr:row>
                <xdr:rowOff>19050</xdr:rowOff>
              </to>
            </anchor>
          </objectPr>
        </oleObject>
      </mc:Choice>
      <mc:Fallback>
        <oleObject progId="Equation.DSMT4"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9:BH133"/>
  <sheetViews>
    <sheetView workbookViewId="0"/>
  </sheetViews>
  <sheetFormatPr defaultColWidth="8.7890625" defaultRowHeight="18.3" x14ac:dyDescent="0.85"/>
  <cols>
    <col min="1" max="1" width="12.70703125" style="67" customWidth="1"/>
    <col min="2" max="2" width="12.70703125" style="69" customWidth="1"/>
    <col min="3" max="8" width="12.70703125" style="67" customWidth="1"/>
    <col min="9" max="16384" width="8.7890625" style="67"/>
  </cols>
  <sheetData>
    <row r="29" spans="1:6" x14ac:dyDescent="0.85">
      <c r="A29" s="72"/>
      <c r="B29" s="72"/>
      <c r="C29" s="72"/>
      <c r="D29" s="73" t="s">
        <v>180</v>
      </c>
      <c r="E29" s="72">
        <f>'Design Data'!C130</f>
        <v>268774</v>
      </c>
      <c r="F29" s="72" t="s">
        <v>59</v>
      </c>
    </row>
    <row r="30" spans="1:6" x14ac:dyDescent="0.85">
      <c r="A30" s="72"/>
      <c r="B30" s="72"/>
      <c r="C30" s="72"/>
      <c r="D30" s="73" t="s">
        <v>179</v>
      </c>
      <c r="E30" s="72">
        <f>'Design Data'!C136</f>
        <v>1075.096</v>
      </c>
      <c r="F30" s="72" t="s">
        <v>181</v>
      </c>
    </row>
    <row r="31" spans="1:6" x14ac:dyDescent="0.85">
      <c r="A31" s="72"/>
      <c r="B31" s="72"/>
      <c r="C31" s="72"/>
      <c r="D31" s="73" t="s">
        <v>182</v>
      </c>
      <c r="E31" s="72">
        <v>160</v>
      </c>
      <c r="F31" s="72" t="s">
        <v>181</v>
      </c>
    </row>
    <row r="32" spans="1:6" x14ac:dyDescent="0.85">
      <c r="A32" s="72"/>
      <c r="B32" s="72"/>
      <c r="C32" s="72"/>
      <c r="D32" s="73" t="str">
        <f>"Actual capacity with "&amp;TEXT(E31,"###")&amp;" °F average water temperature - "</f>
        <v xml:space="preserve">Actual capacity with 160 °F average water temperature - </v>
      </c>
      <c r="E32" s="72">
        <f>G44</f>
        <v>996.40000000000009</v>
      </c>
      <c r="F32" s="72" t="s">
        <v>181</v>
      </c>
    </row>
    <row r="33" spans="1:60" x14ac:dyDescent="0.85">
      <c r="A33" s="72"/>
      <c r="B33" s="72"/>
      <c r="C33" s="72"/>
      <c r="D33" s="73" t="s">
        <v>183</v>
      </c>
      <c r="E33" s="72">
        <f>E29/E32</f>
        <v>269.74508229626656</v>
      </c>
      <c r="F33" s="72" t="s">
        <v>184</v>
      </c>
    </row>
    <row r="34" spans="1:60" x14ac:dyDescent="0.85">
      <c r="A34" s="165" t="s">
        <v>161</v>
      </c>
      <c r="B34" s="165"/>
      <c r="C34" s="165"/>
      <c r="D34" s="165"/>
      <c r="E34" s="165"/>
      <c r="F34" s="165"/>
      <c r="G34" s="165"/>
    </row>
    <row r="35" spans="1:60" ht="40" customHeight="1" x14ac:dyDescent="0.85">
      <c r="A35" s="166" t="s">
        <v>185</v>
      </c>
      <c r="B35" s="166"/>
      <c r="C35" s="166"/>
      <c r="D35" s="166"/>
      <c r="E35" s="166"/>
      <c r="F35" s="166"/>
      <c r="G35" s="166"/>
    </row>
    <row r="36" spans="1:60" s="68" customFormat="1" ht="54.9" x14ac:dyDescent="0.85">
      <c r="A36" s="68" t="s">
        <v>163</v>
      </c>
      <c r="B36" s="68" t="s">
        <v>164</v>
      </c>
      <c r="C36" s="68" t="s">
        <v>165</v>
      </c>
      <c r="D36" s="68" t="s">
        <v>166</v>
      </c>
      <c r="E36" s="68" t="s">
        <v>167</v>
      </c>
      <c r="F36" s="68" t="s">
        <v>168</v>
      </c>
      <c r="G36" s="68" t="s">
        <v>169</v>
      </c>
      <c r="H36" s="167" t="s">
        <v>170</v>
      </c>
      <c r="I36" s="167"/>
      <c r="AO36" s="67"/>
      <c r="AP36" s="67"/>
      <c r="AQ36" s="67"/>
      <c r="AR36" s="67"/>
      <c r="AS36" s="67"/>
      <c r="AT36" s="67"/>
      <c r="AU36" s="67"/>
      <c r="AV36" s="67"/>
      <c r="AW36" s="67"/>
      <c r="AX36" s="67"/>
      <c r="AY36" s="67"/>
      <c r="AZ36" s="67"/>
      <c r="BA36" s="67"/>
      <c r="BB36" s="67"/>
      <c r="BC36" s="67"/>
      <c r="BD36" s="67"/>
      <c r="BE36" s="67"/>
      <c r="BF36" s="67"/>
      <c r="BG36" s="67"/>
      <c r="BH36" s="67"/>
    </row>
    <row r="37" spans="1:60" x14ac:dyDescent="0.85">
      <c r="A37" s="69">
        <v>1880</v>
      </c>
      <c r="B37" s="69">
        <v>90</v>
      </c>
      <c r="C37" s="70">
        <v>0.11</v>
      </c>
      <c r="D37" s="69">
        <v>1</v>
      </c>
      <c r="E37" s="69">
        <v>1</v>
      </c>
      <c r="F37" s="69">
        <v>1</v>
      </c>
      <c r="G37" s="69">
        <f>A37*C37*D37*E37*F37</f>
        <v>206.8</v>
      </c>
      <c r="H37" s="69">
        <f>B37</f>
        <v>90</v>
      </c>
      <c r="I37" s="69">
        <f>G37-I39</f>
        <v>56.800000000000011</v>
      </c>
    </row>
    <row r="38" spans="1:60" x14ac:dyDescent="0.85">
      <c r="A38" s="69">
        <v>1880</v>
      </c>
      <c r="B38" s="69">
        <v>100</v>
      </c>
      <c r="C38" s="70">
        <v>0.15</v>
      </c>
      <c r="D38" s="69">
        <v>1</v>
      </c>
      <c r="E38" s="69">
        <v>1</v>
      </c>
      <c r="F38" s="69">
        <v>1</v>
      </c>
      <c r="G38" s="69">
        <f t="shared" ref="G38:G53" si="0">A38*C38*D38*E38*F38</f>
        <v>282</v>
      </c>
      <c r="H38" s="69">
        <f>B53</f>
        <v>240</v>
      </c>
      <c r="I38" s="69">
        <f>G53-I39</f>
        <v>2200</v>
      </c>
    </row>
    <row r="39" spans="1:60" x14ac:dyDescent="0.85">
      <c r="A39" s="69">
        <v>1880</v>
      </c>
      <c r="B39" s="69">
        <v>110</v>
      </c>
      <c r="C39" s="70">
        <v>0.2</v>
      </c>
      <c r="D39" s="69">
        <v>1</v>
      </c>
      <c r="E39" s="69">
        <v>1</v>
      </c>
      <c r="F39" s="69">
        <v>1</v>
      </c>
      <c r="G39" s="69">
        <f t="shared" si="0"/>
        <v>376</v>
      </c>
      <c r="H39" s="67" t="s">
        <v>171</v>
      </c>
      <c r="I39" s="69">
        <v>150</v>
      </c>
      <c r="M39" s="72" t="s">
        <v>196</v>
      </c>
      <c r="N39" s="72"/>
      <c r="O39" s="72"/>
      <c r="P39" s="72"/>
      <c r="Q39" s="72"/>
      <c r="R39" s="72"/>
      <c r="S39" s="72"/>
      <c r="T39" s="72"/>
      <c r="U39" s="72"/>
      <c r="V39" s="72"/>
      <c r="W39" s="72"/>
      <c r="X39" s="72"/>
      <c r="AO39" s="68"/>
      <c r="AP39" s="68"/>
      <c r="AQ39" s="68"/>
      <c r="AR39" s="68"/>
      <c r="AS39" s="68"/>
      <c r="AT39" s="68"/>
      <c r="AU39" s="68"/>
      <c r="AV39" s="68"/>
      <c r="AW39" s="68"/>
      <c r="AX39" s="68"/>
      <c r="AY39" s="68"/>
      <c r="AZ39" s="68"/>
      <c r="BA39" s="68"/>
      <c r="BB39" s="68"/>
      <c r="BC39" s="68"/>
      <c r="BD39" s="68"/>
      <c r="BE39" s="68"/>
      <c r="BF39" s="68"/>
      <c r="BG39" s="68"/>
      <c r="BH39" s="68"/>
    </row>
    <row r="40" spans="1:60" x14ac:dyDescent="0.85">
      <c r="A40" s="69">
        <v>1880</v>
      </c>
      <c r="B40" s="69">
        <v>120</v>
      </c>
      <c r="C40" s="70">
        <v>0.26</v>
      </c>
      <c r="D40" s="69">
        <v>1</v>
      </c>
      <c r="E40" s="69">
        <v>1</v>
      </c>
      <c r="F40" s="69">
        <v>1</v>
      </c>
      <c r="G40" s="69">
        <f t="shared" si="0"/>
        <v>488.8</v>
      </c>
      <c r="M40" s="72" t="s">
        <v>188</v>
      </c>
      <c r="N40" s="72"/>
      <c r="O40" s="72"/>
      <c r="P40" s="72"/>
      <c r="Q40" s="72"/>
      <c r="R40" s="72"/>
      <c r="S40" s="72"/>
      <c r="T40" s="72"/>
      <c r="U40" s="72"/>
      <c r="V40" s="72"/>
      <c r="W40" s="72"/>
      <c r="X40" s="72"/>
    </row>
    <row r="41" spans="1:60" x14ac:dyDescent="0.85">
      <c r="A41" s="69">
        <v>1880</v>
      </c>
      <c r="B41" s="69">
        <v>130</v>
      </c>
      <c r="C41" s="70">
        <v>0.33</v>
      </c>
      <c r="D41" s="69">
        <v>1</v>
      </c>
      <c r="E41" s="69">
        <v>1</v>
      </c>
      <c r="F41" s="69">
        <v>1</v>
      </c>
      <c r="G41" s="69">
        <f t="shared" si="0"/>
        <v>620.4</v>
      </c>
      <c r="M41" s="72"/>
      <c r="N41" s="72"/>
      <c r="O41" s="72"/>
      <c r="P41" s="72"/>
      <c r="Q41" s="73" t="s">
        <v>189</v>
      </c>
      <c r="R41" s="76">
        <v>7.2</v>
      </c>
      <c r="S41" s="72" t="s">
        <v>190</v>
      </c>
      <c r="T41" s="72"/>
      <c r="U41" s="72"/>
      <c r="V41" s="72"/>
      <c r="W41" s="72"/>
      <c r="X41" s="72"/>
    </row>
    <row r="42" spans="1:60" x14ac:dyDescent="0.85">
      <c r="A42" s="69">
        <v>1880</v>
      </c>
      <c r="B42" s="69">
        <v>140</v>
      </c>
      <c r="C42" s="70">
        <v>0.4</v>
      </c>
      <c r="D42" s="69">
        <v>1</v>
      </c>
      <c r="E42" s="69">
        <v>1</v>
      </c>
      <c r="F42" s="69">
        <v>1</v>
      </c>
      <c r="G42" s="69">
        <f t="shared" si="0"/>
        <v>752</v>
      </c>
      <c r="M42" s="72"/>
      <c r="N42" s="72"/>
      <c r="O42" s="72"/>
      <c r="P42" s="72"/>
      <c r="Q42" s="73" t="s">
        <v>191</v>
      </c>
      <c r="R42" s="76">
        <v>10</v>
      </c>
      <c r="S42" s="72" t="s">
        <v>36</v>
      </c>
      <c r="T42" s="72"/>
      <c r="U42" s="72"/>
      <c r="V42" s="72"/>
      <c r="W42" s="72"/>
      <c r="X42" s="72"/>
    </row>
    <row r="43" spans="1:60" x14ac:dyDescent="0.85">
      <c r="A43" s="69">
        <v>1880</v>
      </c>
      <c r="B43" s="69">
        <v>150</v>
      </c>
      <c r="C43" s="70">
        <v>0.45</v>
      </c>
      <c r="D43" s="69">
        <v>1</v>
      </c>
      <c r="E43" s="69">
        <v>1</v>
      </c>
      <c r="F43" s="69">
        <v>1</v>
      </c>
      <c r="G43" s="69">
        <f t="shared" si="0"/>
        <v>846</v>
      </c>
      <c r="M43" s="72"/>
      <c r="N43" s="72"/>
      <c r="O43" s="72"/>
      <c r="P43" s="72"/>
      <c r="Q43" s="73" t="str">
        <f>"gpm to handle the load at a "&amp;TEXT(R42,"##")&amp;" °F ∆t - "</f>
        <v xml:space="preserve">gpm to handle the load at a 10 °F ∆t - </v>
      </c>
      <c r="R43" s="76">
        <f>$E$29/(500*R42)</f>
        <v>53.754800000000003</v>
      </c>
      <c r="S43" s="72" t="s">
        <v>190</v>
      </c>
      <c r="T43" s="72"/>
      <c r="U43" s="72"/>
      <c r="V43" s="72"/>
      <c r="W43" s="72"/>
      <c r="X43" s="72"/>
    </row>
    <row r="44" spans="1:60" x14ac:dyDescent="0.85">
      <c r="A44" s="69">
        <v>1880</v>
      </c>
      <c r="B44" s="74">
        <v>160</v>
      </c>
      <c r="C44" s="75">
        <v>0.53</v>
      </c>
      <c r="D44" s="74">
        <v>1</v>
      </c>
      <c r="E44" s="74">
        <v>1</v>
      </c>
      <c r="F44" s="74">
        <v>1</v>
      </c>
      <c r="G44" s="74">
        <f t="shared" si="0"/>
        <v>996.40000000000009</v>
      </c>
      <c r="M44" s="72"/>
      <c r="N44" s="72"/>
      <c r="O44" s="72"/>
      <c r="P44" s="72"/>
      <c r="Q44" s="73" t="s">
        <v>192</v>
      </c>
      <c r="R44" s="76">
        <f>R43/R41</f>
        <v>7.4659444444444443</v>
      </c>
      <c r="S44" s="72"/>
      <c r="T44" s="72"/>
      <c r="U44" s="72"/>
      <c r="V44" s="72"/>
      <c r="W44" s="72"/>
      <c r="X44" s="72"/>
    </row>
    <row r="45" spans="1:60" x14ac:dyDescent="0.85">
      <c r="A45" s="69">
        <v>1880</v>
      </c>
      <c r="B45" s="69">
        <v>170</v>
      </c>
      <c r="C45" s="70">
        <v>0.61</v>
      </c>
      <c r="D45" s="69">
        <v>1</v>
      </c>
      <c r="E45" s="69">
        <v>1</v>
      </c>
      <c r="F45" s="69">
        <v>1</v>
      </c>
      <c r="G45" s="69">
        <f t="shared" si="0"/>
        <v>1146.8</v>
      </c>
      <c r="M45" s="72"/>
      <c r="N45" s="72"/>
      <c r="O45" s="72"/>
      <c r="P45" s="73"/>
      <c r="Q45" s="73" t="s">
        <v>193</v>
      </c>
      <c r="R45" s="76">
        <v>8</v>
      </c>
      <c r="S45" s="72"/>
      <c r="T45" s="72"/>
      <c r="U45" s="72"/>
      <c r="V45" s="72"/>
      <c r="W45" s="72"/>
      <c r="X45" s="72"/>
    </row>
    <row r="46" spans="1:60" x14ac:dyDescent="0.85">
      <c r="A46" s="69">
        <v>1880</v>
      </c>
      <c r="B46" s="69">
        <v>180</v>
      </c>
      <c r="C46" s="70">
        <v>0.69</v>
      </c>
      <c r="D46" s="69">
        <v>1</v>
      </c>
      <c r="E46" s="69">
        <v>1</v>
      </c>
      <c r="F46" s="69">
        <v>1</v>
      </c>
      <c r="G46" s="69">
        <f t="shared" si="0"/>
        <v>1297.1999999999998</v>
      </c>
      <c r="M46" s="72"/>
      <c r="N46" s="72"/>
      <c r="O46" s="72"/>
      <c r="P46" s="73"/>
      <c r="Q46" s="73" t="str">
        <f>"∆t with "&amp;TEXT(R45,"##")&amp;" circuits - "</f>
        <v xml:space="preserve">∆t with 8 circuits - </v>
      </c>
      <c r="R46" s="72">
        <f>$E$29/(500*(R45*R41))</f>
        <v>9.3324305555555558</v>
      </c>
      <c r="S46" s="72" t="s">
        <v>36</v>
      </c>
      <c r="T46" s="72"/>
      <c r="U46" s="72"/>
      <c r="V46" s="72"/>
      <c r="W46" s="72"/>
      <c r="X46" s="72"/>
    </row>
    <row r="47" spans="1:60" x14ac:dyDescent="0.85">
      <c r="A47" s="69">
        <v>1880</v>
      </c>
      <c r="B47" s="69">
        <v>190</v>
      </c>
      <c r="C47" s="70">
        <v>0.78</v>
      </c>
      <c r="D47" s="69">
        <v>1</v>
      </c>
      <c r="E47" s="69">
        <v>1</v>
      </c>
      <c r="F47" s="69">
        <v>1</v>
      </c>
      <c r="G47" s="69">
        <f t="shared" si="0"/>
        <v>1466.4</v>
      </c>
      <c r="M47" s="72"/>
      <c r="N47" s="72"/>
      <c r="O47" s="72"/>
      <c r="P47" s="73"/>
      <c r="Q47" s="73" t="s">
        <v>194</v>
      </c>
      <c r="R47" s="76">
        <f>(0.5*R46)+$E$31</f>
        <v>164.66621527777778</v>
      </c>
      <c r="S47" s="72" t="s">
        <v>36</v>
      </c>
      <c r="T47" s="72"/>
      <c r="U47" s="72"/>
      <c r="V47" s="72"/>
      <c r="W47" s="72"/>
      <c r="X47" s="72"/>
    </row>
    <row r="48" spans="1:60" x14ac:dyDescent="0.85">
      <c r="A48" s="69">
        <v>1880</v>
      </c>
      <c r="B48" s="69">
        <v>200</v>
      </c>
      <c r="C48" s="70">
        <v>0.86</v>
      </c>
      <c r="D48" s="69">
        <v>1</v>
      </c>
      <c r="E48" s="69">
        <v>1</v>
      </c>
      <c r="F48" s="69">
        <v>1</v>
      </c>
      <c r="G48" s="69">
        <f t="shared" si="0"/>
        <v>1616.8</v>
      </c>
      <c r="M48" s="72"/>
      <c r="N48" s="72"/>
      <c r="O48" s="72"/>
      <c r="P48" s="73"/>
      <c r="Q48" s="73" t="s">
        <v>195</v>
      </c>
      <c r="R48" s="76">
        <f>$E$31-(0.5*R46)</f>
        <v>155.33378472222222</v>
      </c>
      <c r="S48" s="72" t="s">
        <v>36</v>
      </c>
      <c r="T48" s="72"/>
      <c r="U48" s="72"/>
      <c r="V48" s="72"/>
      <c r="W48" s="72"/>
      <c r="X48" s="72"/>
    </row>
    <row r="49" spans="1:24" x14ac:dyDescent="0.85">
      <c r="A49" s="69">
        <v>1880</v>
      </c>
      <c r="B49" s="69">
        <v>210</v>
      </c>
      <c r="C49" s="70">
        <v>0.95</v>
      </c>
      <c r="D49" s="69">
        <v>1</v>
      </c>
      <c r="E49" s="69">
        <v>1</v>
      </c>
      <c r="F49" s="69">
        <v>1</v>
      </c>
      <c r="G49" s="69">
        <f t="shared" si="0"/>
        <v>1786</v>
      </c>
      <c r="M49" s="77" t="s">
        <v>188</v>
      </c>
      <c r="N49" s="77"/>
      <c r="O49" s="77"/>
      <c r="P49" s="77"/>
      <c r="Q49" s="77"/>
      <c r="R49" s="77"/>
      <c r="S49" s="77"/>
      <c r="T49" s="77"/>
      <c r="U49" s="77"/>
      <c r="V49" s="77"/>
      <c r="W49" s="77"/>
      <c r="X49" s="77"/>
    </row>
    <row r="50" spans="1:24" x14ac:dyDescent="0.85">
      <c r="A50" s="69">
        <v>1880</v>
      </c>
      <c r="B50" s="69">
        <v>215</v>
      </c>
      <c r="C50" s="70">
        <v>1</v>
      </c>
      <c r="D50" s="69">
        <v>1</v>
      </c>
      <c r="E50" s="69">
        <v>1</v>
      </c>
      <c r="F50" s="69">
        <v>1</v>
      </c>
      <c r="G50" s="69">
        <f t="shared" si="0"/>
        <v>1880</v>
      </c>
      <c r="M50" s="77"/>
      <c r="N50" s="77"/>
      <c r="O50" s="77"/>
      <c r="P50" s="77"/>
      <c r="Q50" s="78" t="s">
        <v>189</v>
      </c>
      <c r="R50" s="79">
        <v>7.2</v>
      </c>
      <c r="S50" s="77" t="s">
        <v>190</v>
      </c>
      <c r="T50" s="77"/>
      <c r="U50" s="77"/>
      <c r="V50" s="77"/>
      <c r="W50" s="77"/>
      <c r="X50" s="77"/>
    </row>
    <row r="51" spans="1:24" x14ac:dyDescent="0.85">
      <c r="A51" s="69">
        <v>1880</v>
      </c>
      <c r="B51" s="69">
        <v>220</v>
      </c>
      <c r="C51" s="70">
        <v>1.05</v>
      </c>
      <c r="D51" s="69">
        <v>1</v>
      </c>
      <c r="E51" s="69">
        <v>1</v>
      </c>
      <c r="F51" s="69">
        <v>1</v>
      </c>
      <c r="G51" s="69">
        <f t="shared" si="0"/>
        <v>1974</v>
      </c>
      <c r="M51" s="77"/>
      <c r="N51" s="77"/>
      <c r="O51" s="77"/>
      <c r="P51" s="77"/>
      <c r="Q51" s="78" t="s">
        <v>191</v>
      </c>
      <c r="R51" s="79">
        <v>20</v>
      </c>
      <c r="S51" s="77" t="s">
        <v>36</v>
      </c>
      <c r="T51" s="77"/>
      <c r="U51" s="77"/>
      <c r="V51" s="77"/>
      <c r="W51" s="77"/>
      <c r="X51" s="77"/>
    </row>
    <row r="52" spans="1:24" x14ac:dyDescent="0.85">
      <c r="A52" s="69">
        <v>1880</v>
      </c>
      <c r="B52" s="69">
        <v>230</v>
      </c>
      <c r="C52" s="70">
        <v>1.1399999999999999</v>
      </c>
      <c r="D52" s="69">
        <v>1</v>
      </c>
      <c r="E52" s="69">
        <v>1</v>
      </c>
      <c r="F52" s="69">
        <v>1</v>
      </c>
      <c r="G52" s="69">
        <f t="shared" si="0"/>
        <v>2143.1999999999998</v>
      </c>
      <c r="M52" s="77"/>
      <c r="N52" s="77"/>
      <c r="O52" s="77"/>
      <c r="P52" s="77"/>
      <c r="Q52" s="78" t="str">
        <f>"gpm to handle the load at a "&amp;TEXT(R51,"##")&amp;" °F ∆t - "</f>
        <v xml:space="preserve">gpm to handle the load at a 20 °F ∆t - </v>
      </c>
      <c r="R52" s="79">
        <f>$E$29/(500*R51)</f>
        <v>26.877400000000002</v>
      </c>
      <c r="S52" s="77" t="s">
        <v>190</v>
      </c>
      <c r="T52" s="77"/>
      <c r="U52" s="77"/>
      <c r="V52" s="77"/>
      <c r="W52" s="77"/>
      <c r="X52" s="77"/>
    </row>
    <row r="53" spans="1:24" x14ac:dyDescent="0.85">
      <c r="A53" s="69">
        <v>1880</v>
      </c>
      <c r="B53" s="69">
        <v>240</v>
      </c>
      <c r="C53" s="70">
        <v>1.25</v>
      </c>
      <c r="D53" s="69">
        <v>1</v>
      </c>
      <c r="E53" s="69">
        <v>1</v>
      </c>
      <c r="F53" s="69">
        <v>1</v>
      </c>
      <c r="G53" s="69">
        <f t="shared" si="0"/>
        <v>2350</v>
      </c>
      <c r="M53" s="77"/>
      <c r="N53" s="77"/>
      <c r="O53" s="77"/>
      <c r="P53" s="77"/>
      <c r="Q53" s="78" t="s">
        <v>192</v>
      </c>
      <c r="R53" s="79">
        <f>R52/R50</f>
        <v>3.7329722222222221</v>
      </c>
      <c r="S53" s="77"/>
      <c r="T53" s="77"/>
      <c r="U53" s="77"/>
      <c r="V53" s="77"/>
      <c r="W53" s="77"/>
      <c r="X53" s="77"/>
    </row>
    <row r="54" spans="1:24" x14ac:dyDescent="0.85">
      <c r="A54" s="165" t="s">
        <v>172</v>
      </c>
      <c r="B54" s="165"/>
      <c r="C54" s="165"/>
      <c r="D54" s="165"/>
      <c r="E54" s="165"/>
      <c r="F54" s="165"/>
      <c r="G54" s="165"/>
      <c r="M54" s="77"/>
      <c r="N54" s="77"/>
      <c r="O54" s="77"/>
      <c r="P54" s="78"/>
      <c r="Q54" s="78" t="s">
        <v>193</v>
      </c>
      <c r="R54" s="79">
        <v>4</v>
      </c>
      <c r="S54" s="77"/>
      <c r="T54" s="77"/>
      <c r="U54" s="77"/>
      <c r="V54" s="77"/>
      <c r="W54" s="77"/>
      <c r="X54" s="77"/>
    </row>
    <row r="55" spans="1:24" ht="40" customHeight="1" x14ac:dyDescent="0.85">
      <c r="A55" s="166" t="s">
        <v>186</v>
      </c>
      <c r="B55" s="166"/>
      <c r="C55" s="166"/>
      <c r="D55" s="166"/>
      <c r="E55" s="166"/>
      <c r="F55" s="166"/>
      <c r="G55" s="166"/>
      <c r="M55" s="77"/>
      <c r="N55" s="77"/>
      <c r="O55" s="77"/>
      <c r="P55" s="78"/>
      <c r="Q55" s="78" t="str">
        <f>"∆t with "&amp;TEXT(R54,"##")&amp;" circuits - "</f>
        <v xml:space="preserve">∆t with 4 circuits - </v>
      </c>
      <c r="R55" s="77">
        <f>$E$29/(500*(R54*R50))</f>
        <v>18.664861111111112</v>
      </c>
      <c r="S55" s="77" t="s">
        <v>36</v>
      </c>
      <c r="T55" s="77"/>
      <c r="U55" s="77"/>
      <c r="V55" s="77"/>
      <c r="W55" s="77"/>
      <c r="X55" s="77"/>
    </row>
    <row r="56" spans="1:24" ht="54.9" x14ac:dyDescent="0.85">
      <c r="A56" s="68" t="s">
        <v>163</v>
      </c>
      <c r="B56" s="68" t="s">
        <v>164</v>
      </c>
      <c r="C56" s="68" t="s">
        <v>165</v>
      </c>
      <c r="D56" s="68" t="s">
        <v>166</v>
      </c>
      <c r="E56" s="68" t="s">
        <v>167</v>
      </c>
      <c r="F56" s="68" t="s">
        <v>168</v>
      </c>
      <c r="G56" s="68" t="s">
        <v>169</v>
      </c>
      <c r="M56" s="77"/>
      <c r="N56" s="77"/>
      <c r="O56" s="77"/>
      <c r="P56" s="78"/>
      <c r="Q56" s="78" t="s">
        <v>194</v>
      </c>
      <c r="R56" s="79">
        <f>(0.5*R55)+$E$31</f>
        <v>169.33243055555556</v>
      </c>
      <c r="S56" s="77" t="s">
        <v>36</v>
      </c>
      <c r="T56" s="77"/>
      <c r="U56" s="77"/>
      <c r="V56" s="77"/>
      <c r="W56" s="77"/>
      <c r="X56" s="77"/>
    </row>
    <row r="57" spans="1:24" x14ac:dyDescent="0.85">
      <c r="A57" s="69">
        <v>1540</v>
      </c>
      <c r="B57" s="69">
        <v>90</v>
      </c>
      <c r="C57" s="70">
        <v>0.11</v>
      </c>
      <c r="D57" s="70">
        <f>0.06/C57</f>
        <v>0.54545454545454541</v>
      </c>
      <c r="E57" s="70">
        <v>1</v>
      </c>
      <c r="F57" s="70">
        <v>1</v>
      </c>
      <c r="G57" s="69">
        <f>A57*C57*D57*E57*F57</f>
        <v>92.399999999999991</v>
      </c>
      <c r="M57" s="77"/>
      <c r="N57" s="77"/>
      <c r="O57" s="77"/>
      <c r="P57" s="78"/>
      <c r="Q57" s="78" t="s">
        <v>195</v>
      </c>
      <c r="R57" s="79">
        <f>$E$31-(0.5*R55)</f>
        <v>150.66756944444444</v>
      </c>
      <c r="S57" s="77" t="s">
        <v>36</v>
      </c>
      <c r="T57" s="77"/>
      <c r="U57" s="77"/>
      <c r="V57" s="77"/>
      <c r="W57" s="77"/>
      <c r="X57" s="77"/>
    </row>
    <row r="58" spans="1:24" x14ac:dyDescent="0.85">
      <c r="A58" s="69">
        <v>1540</v>
      </c>
      <c r="B58" s="69">
        <v>100</v>
      </c>
      <c r="C58" s="70">
        <v>0.15</v>
      </c>
      <c r="D58" s="70">
        <f>0.11/C58</f>
        <v>0.73333333333333339</v>
      </c>
      <c r="E58" s="70">
        <v>1</v>
      </c>
      <c r="F58" s="70">
        <v>1</v>
      </c>
      <c r="G58" s="69">
        <f t="shared" ref="G58:G73" si="1">A58*C58*D58*E58*F58</f>
        <v>169.4</v>
      </c>
      <c r="M58" s="91" t="s">
        <v>239</v>
      </c>
      <c r="N58" s="91"/>
      <c r="O58" s="91"/>
      <c r="P58" s="91"/>
      <c r="Q58" s="91"/>
      <c r="R58" s="91"/>
      <c r="S58" s="91"/>
      <c r="T58" s="91"/>
      <c r="U58" s="91"/>
      <c r="V58" s="91"/>
      <c r="W58" s="91"/>
    </row>
    <row r="59" spans="1:24" x14ac:dyDescent="0.85">
      <c r="A59" s="69">
        <v>1540</v>
      </c>
      <c r="B59" s="69">
        <v>110</v>
      </c>
      <c r="C59" s="70">
        <v>0.2</v>
      </c>
      <c r="D59" s="70">
        <f>0.16/C59</f>
        <v>0.79999999999999993</v>
      </c>
      <c r="E59" s="70">
        <v>1</v>
      </c>
      <c r="F59" s="70">
        <v>1</v>
      </c>
      <c r="G59" s="69">
        <f t="shared" si="1"/>
        <v>246.39999999999998</v>
      </c>
      <c r="M59" s="91"/>
      <c r="N59" s="91"/>
      <c r="O59" s="91"/>
      <c r="P59" s="91"/>
      <c r="Q59" s="92" t="s">
        <v>240</v>
      </c>
      <c r="R59" s="93">
        <f>R50</f>
        <v>7.2</v>
      </c>
      <c r="S59" s="91" t="s">
        <v>36</v>
      </c>
      <c r="T59" s="91"/>
      <c r="U59" s="91"/>
      <c r="V59" s="91"/>
      <c r="W59" s="91"/>
    </row>
    <row r="60" spans="1:24" x14ac:dyDescent="0.85">
      <c r="A60" s="69">
        <v>1540</v>
      </c>
      <c r="B60" s="69">
        <v>120</v>
      </c>
      <c r="C60" s="70">
        <v>0.26</v>
      </c>
      <c r="D60" s="70">
        <f>0.21/C60</f>
        <v>0.8076923076923076</v>
      </c>
      <c r="E60" s="70">
        <v>1</v>
      </c>
      <c r="F60" s="70">
        <v>1</v>
      </c>
      <c r="G60" s="69">
        <f t="shared" si="1"/>
        <v>323.39999999999998</v>
      </c>
      <c r="M60" s="91"/>
      <c r="N60" s="91"/>
      <c r="O60" s="91"/>
      <c r="P60" s="91"/>
      <c r="Q60" s="92" t="s">
        <v>241</v>
      </c>
      <c r="R60" s="91">
        <f>'Design Data'!C15</f>
        <v>200</v>
      </c>
      <c r="S60" s="91" t="s">
        <v>184</v>
      </c>
      <c r="T60" s="91"/>
      <c r="U60" s="91"/>
      <c r="V60" s="91"/>
      <c r="W60" s="91"/>
    </row>
    <row r="61" spans="1:24" x14ac:dyDescent="0.85">
      <c r="A61" s="69">
        <v>1540</v>
      </c>
      <c r="B61" s="69">
        <v>130</v>
      </c>
      <c r="C61" s="70">
        <v>0.33</v>
      </c>
      <c r="D61" s="70">
        <f>0.28/C61</f>
        <v>0.84848484848484851</v>
      </c>
      <c r="E61" s="70">
        <v>1</v>
      </c>
      <c r="F61" s="70">
        <v>1</v>
      </c>
      <c r="G61" s="69">
        <f t="shared" si="1"/>
        <v>431.20000000000005</v>
      </c>
      <c r="M61" s="91"/>
      <c r="N61" s="91"/>
      <c r="O61" s="91"/>
      <c r="P61" s="91"/>
      <c r="Q61" s="92" t="s">
        <v>242</v>
      </c>
      <c r="R61" s="93">
        <v>3.75</v>
      </c>
      <c r="S61" s="91" t="s">
        <v>243</v>
      </c>
      <c r="T61" s="91"/>
      <c r="U61" s="91"/>
      <c r="V61" s="91"/>
      <c r="W61" s="91"/>
    </row>
    <row r="62" spans="1:24" x14ac:dyDescent="0.85">
      <c r="A62" s="69">
        <v>1540</v>
      </c>
      <c r="B62" s="69">
        <v>140</v>
      </c>
      <c r="C62" s="70">
        <v>0.4</v>
      </c>
      <c r="D62" s="70">
        <f>0.34/C62</f>
        <v>0.85</v>
      </c>
      <c r="E62" s="70">
        <v>1</v>
      </c>
      <c r="F62" s="70">
        <v>1</v>
      </c>
      <c r="G62" s="69">
        <f t="shared" si="1"/>
        <v>523.6</v>
      </c>
      <c r="M62" s="91"/>
      <c r="N62" s="91"/>
      <c r="O62" s="91"/>
      <c r="P62" s="91"/>
      <c r="Q62" s="92" t="s">
        <v>244</v>
      </c>
      <c r="R62" s="94">
        <f>(R60/100)*R61</f>
        <v>7.5</v>
      </c>
      <c r="S62" s="91" t="s">
        <v>245</v>
      </c>
      <c r="T62" s="91"/>
      <c r="U62" s="91"/>
      <c r="V62" s="91"/>
      <c r="W62" s="91"/>
    </row>
    <row r="63" spans="1:24" x14ac:dyDescent="0.85">
      <c r="A63" s="69">
        <v>1540</v>
      </c>
      <c r="B63" s="69">
        <v>150</v>
      </c>
      <c r="C63" s="70">
        <v>0.45</v>
      </c>
      <c r="D63" s="70">
        <f>0.41/C63</f>
        <v>0.91111111111111098</v>
      </c>
      <c r="E63" s="70">
        <v>1</v>
      </c>
      <c r="F63" s="70">
        <v>1</v>
      </c>
      <c r="G63" s="69">
        <f t="shared" si="1"/>
        <v>631.39999999999986</v>
      </c>
      <c r="M63" s="91"/>
      <c r="N63" s="91"/>
      <c r="O63" s="91"/>
      <c r="P63" s="91"/>
      <c r="Q63" s="92" t="s">
        <v>246</v>
      </c>
      <c r="R63" s="94">
        <f>1*R62</f>
        <v>7.5</v>
      </c>
      <c r="S63" s="91" t="s">
        <v>247</v>
      </c>
      <c r="T63" s="91"/>
      <c r="U63" s="91"/>
      <c r="V63" s="91"/>
      <c r="W63" s="91"/>
    </row>
    <row r="64" spans="1:24" x14ac:dyDescent="0.85">
      <c r="A64" s="69">
        <v>1540</v>
      </c>
      <c r="B64" s="69">
        <v>160</v>
      </c>
      <c r="C64" s="70">
        <v>0.53</v>
      </c>
      <c r="D64" s="70">
        <f>0.49/C64</f>
        <v>0.92452830188679236</v>
      </c>
      <c r="E64" s="70">
        <v>1</v>
      </c>
      <c r="F64" s="70">
        <v>1</v>
      </c>
      <c r="G64" s="69">
        <f t="shared" si="1"/>
        <v>754.59999999999991</v>
      </c>
      <c r="M64" s="91"/>
      <c r="N64" s="91"/>
      <c r="O64" s="91"/>
      <c r="P64" s="91"/>
      <c r="Q64" s="92" t="s">
        <v>248</v>
      </c>
      <c r="R64" s="94">
        <f>R62</f>
        <v>7.5</v>
      </c>
      <c r="S64" s="91" t="s">
        <v>247</v>
      </c>
      <c r="T64" s="91"/>
      <c r="U64" s="91"/>
      <c r="V64" s="91"/>
      <c r="W64" s="91"/>
    </row>
    <row r="65" spans="1:23" x14ac:dyDescent="0.85">
      <c r="A65" s="69">
        <v>1540</v>
      </c>
      <c r="B65" s="69">
        <v>170</v>
      </c>
      <c r="C65" s="70">
        <v>0.61</v>
      </c>
      <c r="D65" s="70">
        <f>0.57/C65</f>
        <v>0.93442622950819665</v>
      </c>
      <c r="E65" s="70">
        <v>1</v>
      </c>
      <c r="F65" s="70">
        <v>1</v>
      </c>
      <c r="G65" s="69">
        <f t="shared" si="1"/>
        <v>877.8</v>
      </c>
      <c r="M65" s="91"/>
      <c r="N65" s="91"/>
      <c r="O65" s="91"/>
      <c r="P65" s="91"/>
      <c r="Q65" s="92" t="s">
        <v>249</v>
      </c>
      <c r="R65" s="91">
        <f>SUM(R62:R64)</f>
        <v>22.5</v>
      </c>
      <c r="S65" s="91" t="s">
        <v>247</v>
      </c>
      <c r="T65" s="91"/>
      <c r="U65" s="91"/>
      <c r="V65" s="91"/>
      <c r="W65" s="91"/>
    </row>
    <row r="66" spans="1:23" x14ac:dyDescent="0.85">
      <c r="A66" s="69">
        <v>1540</v>
      </c>
      <c r="B66" s="69">
        <v>180</v>
      </c>
      <c r="C66" s="70">
        <v>0.69</v>
      </c>
      <c r="D66" s="70">
        <f>0.65/C66</f>
        <v>0.94202898550724645</v>
      </c>
      <c r="E66" s="70">
        <v>1</v>
      </c>
      <c r="F66" s="70">
        <v>1</v>
      </c>
      <c r="G66" s="69">
        <f t="shared" si="1"/>
        <v>1001</v>
      </c>
    </row>
    <row r="67" spans="1:23" x14ac:dyDescent="0.85">
      <c r="A67" s="69">
        <v>1540</v>
      </c>
      <c r="B67" s="69">
        <v>190</v>
      </c>
      <c r="C67" s="70">
        <v>0.78</v>
      </c>
      <c r="D67" s="70">
        <f>0.73/C67</f>
        <v>0.93589743589743579</v>
      </c>
      <c r="E67" s="70">
        <v>1</v>
      </c>
      <c r="F67" s="70">
        <v>1</v>
      </c>
      <c r="G67" s="69">
        <f t="shared" si="1"/>
        <v>1124.1999999999998</v>
      </c>
    </row>
    <row r="68" spans="1:23" x14ac:dyDescent="0.85">
      <c r="A68" s="69">
        <v>1540</v>
      </c>
      <c r="B68" s="69">
        <v>200</v>
      </c>
      <c r="C68" s="70">
        <v>0.86</v>
      </c>
      <c r="D68" s="70">
        <f>0.82/C68</f>
        <v>0.95348837209302317</v>
      </c>
      <c r="E68" s="70">
        <v>1</v>
      </c>
      <c r="F68" s="70">
        <v>1</v>
      </c>
      <c r="G68" s="69">
        <f t="shared" si="1"/>
        <v>1262.8</v>
      </c>
    </row>
    <row r="69" spans="1:23" x14ac:dyDescent="0.85">
      <c r="A69" s="69">
        <v>1540</v>
      </c>
      <c r="B69" s="69">
        <v>210</v>
      </c>
      <c r="C69" s="70">
        <v>0.95</v>
      </c>
      <c r="D69" s="70">
        <f>0.91/C69</f>
        <v>0.95789473684210535</v>
      </c>
      <c r="E69" s="70">
        <v>1</v>
      </c>
      <c r="F69" s="70">
        <v>1</v>
      </c>
      <c r="G69" s="69">
        <f t="shared" si="1"/>
        <v>1401.4</v>
      </c>
    </row>
    <row r="70" spans="1:23" x14ac:dyDescent="0.85">
      <c r="A70" s="69">
        <v>1540</v>
      </c>
      <c r="B70" s="69">
        <v>215</v>
      </c>
      <c r="C70" s="70">
        <v>1</v>
      </c>
      <c r="D70" s="70">
        <f>0.95/C70</f>
        <v>0.95</v>
      </c>
      <c r="E70" s="70">
        <v>1</v>
      </c>
      <c r="F70" s="70">
        <v>1</v>
      </c>
      <c r="G70" s="69">
        <f t="shared" si="1"/>
        <v>1463</v>
      </c>
    </row>
    <row r="71" spans="1:23" x14ac:dyDescent="0.85">
      <c r="A71" s="69">
        <v>1540</v>
      </c>
      <c r="B71" s="69">
        <v>220</v>
      </c>
      <c r="C71" s="70">
        <v>1.05</v>
      </c>
      <c r="D71" s="70">
        <f>1/C71</f>
        <v>0.95238095238095233</v>
      </c>
      <c r="E71" s="70">
        <v>1</v>
      </c>
      <c r="F71" s="70">
        <v>1</v>
      </c>
      <c r="G71" s="69">
        <f t="shared" si="1"/>
        <v>1540</v>
      </c>
    </row>
    <row r="72" spans="1:23" x14ac:dyDescent="0.85">
      <c r="A72" s="69">
        <v>1540</v>
      </c>
      <c r="B72" s="69">
        <v>230</v>
      </c>
      <c r="C72" s="70">
        <v>1.1399999999999999</v>
      </c>
      <c r="D72" s="70">
        <f>1.09/C72</f>
        <v>0.95614035087719318</v>
      </c>
      <c r="E72" s="70">
        <v>1</v>
      </c>
      <c r="F72" s="70">
        <v>1</v>
      </c>
      <c r="G72" s="69">
        <f t="shared" si="1"/>
        <v>1678.6000000000004</v>
      </c>
    </row>
    <row r="73" spans="1:23" x14ac:dyDescent="0.85">
      <c r="A73" s="69">
        <v>1540</v>
      </c>
      <c r="B73" s="69">
        <v>240</v>
      </c>
      <c r="C73" s="70">
        <v>1.25</v>
      </c>
      <c r="D73" s="70">
        <f>1.19/C73</f>
        <v>0.95199999999999996</v>
      </c>
      <c r="E73" s="70">
        <v>1</v>
      </c>
      <c r="F73" s="70">
        <v>1</v>
      </c>
      <c r="G73" s="69">
        <f t="shared" si="1"/>
        <v>1832.6</v>
      </c>
    </row>
    <row r="74" spans="1:23" x14ac:dyDescent="0.85">
      <c r="A74" s="165" t="s">
        <v>174</v>
      </c>
      <c r="B74" s="165"/>
      <c r="C74" s="165"/>
      <c r="D74" s="165"/>
      <c r="E74" s="165"/>
      <c r="F74" s="165"/>
      <c r="G74" s="165"/>
    </row>
    <row r="75" spans="1:23" ht="40" customHeight="1" x14ac:dyDescent="0.85">
      <c r="A75" s="166" t="s">
        <v>187</v>
      </c>
      <c r="B75" s="166"/>
      <c r="C75" s="166"/>
      <c r="D75" s="166"/>
      <c r="E75" s="166"/>
      <c r="F75" s="166"/>
      <c r="G75" s="166"/>
    </row>
    <row r="76" spans="1:23" ht="54.9" x14ac:dyDescent="0.85">
      <c r="A76" s="68" t="s">
        <v>163</v>
      </c>
      <c r="B76" s="68" t="s">
        <v>164</v>
      </c>
      <c r="C76" s="68" t="s">
        <v>165</v>
      </c>
      <c r="D76" s="68" t="s">
        <v>166</v>
      </c>
      <c r="E76" s="68" t="s">
        <v>167</v>
      </c>
      <c r="F76" s="68" t="s">
        <v>168</v>
      </c>
      <c r="G76" s="68" t="s">
        <v>169</v>
      </c>
    </row>
    <row r="77" spans="1:23" x14ac:dyDescent="0.85">
      <c r="A77" s="69">
        <v>1880</v>
      </c>
      <c r="B77" s="69">
        <v>90</v>
      </c>
      <c r="C77" s="70">
        <v>0.11</v>
      </c>
      <c r="D77" s="70">
        <f>0.13/C77</f>
        <v>1.1818181818181819</v>
      </c>
      <c r="E77" s="70">
        <v>1</v>
      </c>
      <c r="F77" s="70">
        <v>1</v>
      </c>
      <c r="G77" s="69">
        <f>A77*C77*D77*E77*F77</f>
        <v>244.40000000000003</v>
      </c>
    </row>
    <row r="78" spans="1:23" x14ac:dyDescent="0.85">
      <c r="A78" s="69">
        <v>1880</v>
      </c>
      <c r="B78" s="69">
        <v>100</v>
      </c>
      <c r="C78" s="70">
        <v>0.15</v>
      </c>
      <c r="D78" s="70">
        <f>0.19/C78</f>
        <v>1.2666666666666668</v>
      </c>
      <c r="E78" s="70">
        <v>1</v>
      </c>
      <c r="F78" s="70">
        <v>1</v>
      </c>
      <c r="G78" s="69">
        <f t="shared" ref="G78:G93" si="2">A78*C78*D78*E78*F78</f>
        <v>357.20000000000005</v>
      </c>
    </row>
    <row r="79" spans="1:23" x14ac:dyDescent="0.85">
      <c r="A79" s="69">
        <v>1880</v>
      </c>
      <c r="B79" s="69">
        <v>110</v>
      </c>
      <c r="C79" s="70">
        <v>0.2</v>
      </c>
      <c r="D79" s="70">
        <f>0.25/C79</f>
        <v>1.25</v>
      </c>
      <c r="E79" s="70">
        <v>1</v>
      </c>
      <c r="F79" s="70">
        <v>1</v>
      </c>
      <c r="G79" s="69">
        <f t="shared" si="2"/>
        <v>470</v>
      </c>
    </row>
    <row r="80" spans="1:23" x14ac:dyDescent="0.85">
      <c r="A80" s="69">
        <v>1880</v>
      </c>
      <c r="B80" s="69">
        <v>120</v>
      </c>
      <c r="C80" s="70">
        <v>0.26</v>
      </c>
      <c r="D80" s="70">
        <f>0.31/C80</f>
        <v>1.1923076923076923</v>
      </c>
      <c r="E80" s="70">
        <v>1</v>
      </c>
      <c r="F80" s="70">
        <v>1</v>
      </c>
      <c r="G80" s="69">
        <f t="shared" si="2"/>
        <v>582.79999999999995</v>
      </c>
    </row>
    <row r="81" spans="1:7" x14ac:dyDescent="0.85">
      <c r="A81" s="69">
        <v>1880</v>
      </c>
      <c r="B81" s="69">
        <v>130</v>
      </c>
      <c r="C81" s="70">
        <v>0.33</v>
      </c>
      <c r="D81" s="70">
        <f>0.38/C81</f>
        <v>1.1515151515151514</v>
      </c>
      <c r="E81" s="70">
        <v>1</v>
      </c>
      <c r="F81" s="70">
        <v>1</v>
      </c>
      <c r="G81" s="69">
        <f t="shared" si="2"/>
        <v>714.39999999999986</v>
      </c>
    </row>
    <row r="82" spans="1:7" x14ac:dyDescent="0.85">
      <c r="A82" s="69">
        <v>1880</v>
      </c>
      <c r="B82" s="69">
        <v>140</v>
      </c>
      <c r="C82" s="70">
        <v>0.4</v>
      </c>
      <c r="D82" s="70">
        <f>0.45/C82</f>
        <v>1.125</v>
      </c>
      <c r="E82" s="70">
        <v>1</v>
      </c>
      <c r="F82" s="70">
        <v>1</v>
      </c>
      <c r="G82" s="69">
        <f t="shared" si="2"/>
        <v>846</v>
      </c>
    </row>
    <row r="83" spans="1:7" x14ac:dyDescent="0.85">
      <c r="A83" s="69">
        <v>1880</v>
      </c>
      <c r="B83" s="69">
        <v>150</v>
      </c>
      <c r="C83" s="70">
        <v>0.45</v>
      </c>
      <c r="D83" s="70">
        <f>0.53/C83</f>
        <v>1.1777777777777778</v>
      </c>
      <c r="E83" s="70">
        <v>1</v>
      </c>
      <c r="F83" s="70">
        <v>1</v>
      </c>
      <c r="G83" s="69">
        <f t="shared" si="2"/>
        <v>996.4</v>
      </c>
    </row>
    <row r="84" spans="1:7" x14ac:dyDescent="0.85">
      <c r="A84" s="69">
        <v>1880</v>
      </c>
      <c r="B84" s="69">
        <v>160</v>
      </c>
      <c r="C84" s="70">
        <v>0.53</v>
      </c>
      <c r="D84" s="70">
        <f>0.61/C84</f>
        <v>1.1509433962264151</v>
      </c>
      <c r="E84" s="70">
        <v>1</v>
      </c>
      <c r="F84" s="70">
        <v>1</v>
      </c>
      <c r="G84" s="69">
        <f t="shared" si="2"/>
        <v>1146.8000000000002</v>
      </c>
    </row>
    <row r="85" spans="1:7" x14ac:dyDescent="0.85">
      <c r="A85" s="69">
        <v>1880</v>
      </c>
      <c r="B85" s="69">
        <v>170</v>
      </c>
      <c r="C85" s="70">
        <v>0.61</v>
      </c>
      <c r="D85" s="70">
        <f>0.69/C85</f>
        <v>1.1311475409836065</v>
      </c>
      <c r="E85" s="70">
        <v>1</v>
      </c>
      <c r="F85" s="70">
        <v>1</v>
      </c>
      <c r="G85" s="69">
        <f t="shared" si="2"/>
        <v>1297.1999999999998</v>
      </c>
    </row>
    <row r="86" spans="1:7" x14ac:dyDescent="0.85">
      <c r="A86" s="69">
        <v>1880</v>
      </c>
      <c r="B86" s="69">
        <v>180</v>
      </c>
      <c r="C86" s="70">
        <v>0.69</v>
      </c>
      <c r="D86" s="70">
        <f>0.77/C86</f>
        <v>1.1159420289855073</v>
      </c>
      <c r="E86" s="70">
        <v>1</v>
      </c>
      <c r="F86" s="70">
        <v>1</v>
      </c>
      <c r="G86" s="69">
        <f t="shared" si="2"/>
        <v>1447.6</v>
      </c>
    </row>
    <row r="87" spans="1:7" x14ac:dyDescent="0.85">
      <c r="A87" s="69">
        <v>1880</v>
      </c>
      <c r="B87" s="69">
        <v>190</v>
      </c>
      <c r="C87" s="70">
        <v>0.78</v>
      </c>
      <c r="D87" s="70">
        <f>0.86/C87</f>
        <v>1.1025641025641024</v>
      </c>
      <c r="E87" s="70">
        <v>1</v>
      </c>
      <c r="F87" s="70">
        <v>1</v>
      </c>
      <c r="G87" s="69">
        <f t="shared" si="2"/>
        <v>1616.8</v>
      </c>
    </row>
    <row r="88" spans="1:7" x14ac:dyDescent="0.85">
      <c r="A88" s="69">
        <v>1880</v>
      </c>
      <c r="B88" s="69">
        <v>200</v>
      </c>
      <c r="C88" s="70">
        <v>0.86</v>
      </c>
      <c r="D88" s="70">
        <f>0.95/C88</f>
        <v>1.1046511627906976</v>
      </c>
      <c r="E88" s="70">
        <v>1</v>
      </c>
      <c r="F88" s="70">
        <v>1</v>
      </c>
      <c r="G88" s="69">
        <f t="shared" si="2"/>
        <v>1786</v>
      </c>
    </row>
    <row r="89" spans="1:7" x14ac:dyDescent="0.85">
      <c r="A89" s="69">
        <v>1880</v>
      </c>
      <c r="B89" s="69">
        <v>210</v>
      </c>
      <c r="C89" s="70">
        <v>0.95</v>
      </c>
      <c r="D89" s="70">
        <f>1.05/C89</f>
        <v>1.1052631578947369</v>
      </c>
      <c r="E89" s="70">
        <v>1</v>
      </c>
      <c r="F89" s="70">
        <v>1</v>
      </c>
      <c r="G89" s="69">
        <f t="shared" si="2"/>
        <v>1974.0000000000002</v>
      </c>
    </row>
    <row r="90" spans="1:7" x14ac:dyDescent="0.85">
      <c r="A90" s="69">
        <v>1880</v>
      </c>
      <c r="B90" s="69">
        <v>215</v>
      </c>
      <c r="C90" s="70">
        <v>1</v>
      </c>
      <c r="D90" s="70">
        <f>1.09/C90</f>
        <v>1.0900000000000001</v>
      </c>
      <c r="E90" s="70">
        <v>1</v>
      </c>
      <c r="F90" s="70">
        <v>1</v>
      </c>
      <c r="G90" s="69">
        <f t="shared" si="2"/>
        <v>2049.2000000000003</v>
      </c>
    </row>
    <row r="91" spans="1:7" x14ac:dyDescent="0.85">
      <c r="A91" s="69">
        <v>1880</v>
      </c>
      <c r="B91" s="69">
        <v>220</v>
      </c>
      <c r="C91" s="70">
        <v>1.05</v>
      </c>
      <c r="D91" s="70">
        <f>1.14/C91</f>
        <v>1.0857142857142856</v>
      </c>
      <c r="E91" s="70">
        <v>1</v>
      </c>
      <c r="F91" s="70">
        <v>1</v>
      </c>
      <c r="G91" s="69">
        <f t="shared" si="2"/>
        <v>2143.1999999999998</v>
      </c>
    </row>
    <row r="92" spans="1:7" x14ac:dyDescent="0.85">
      <c r="A92" s="69">
        <v>1880</v>
      </c>
      <c r="B92" s="69">
        <v>230</v>
      </c>
      <c r="C92" s="70">
        <v>1.1399999999999999</v>
      </c>
      <c r="D92" s="70">
        <f>1.24/C92</f>
        <v>1.0877192982456141</v>
      </c>
      <c r="E92" s="70">
        <v>1</v>
      </c>
      <c r="F92" s="70">
        <v>1</v>
      </c>
      <c r="G92" s="69">
        <f t="shared" si="2"/>
        <v>2331.1999999999998</v>
      </c>
    </row>
    <row r="93" spans="1:7" x14ac:dyDescent="0.85">
      <c r="A93" s="69">
        <v>1880</v>
      </c>
      <c r="B93" s="69">
        <v>240</v>
      </c>
      <c r="C93" s="70">
        <v>1.25</v>
      </c>
      <c r="D93" s="70">
        <f>1.34/C93</f>
        <v>1.0720000000000001</v>
      </c>
      <c r="E93" s="70">
        <v>1</v>
      </c>
      <c r="F93" s="70">
        <v>1</v>
      </c>
      <c r="G93" s="69">
        <f t="shared" si="2"/>
        <v>2519.2000000000003</v>
      </c>
    </row>
    <row r="94" spans="1:7" x14ac:dyDescent="0.85">
      <c r="A94" s="165" t="s">
        <v>176</v>
      </c>
      <c r="B94" s="165"/>
      <c r="C94" s="165"/>
      <c r="D94" s="165"/>
      <c r="E94" s="165"/>
      <c r="F94" s="165"/>
      <c r="G94" s="165"/>
    </row>
    <row r="95" spans="1:7" ht="40" customHeight="1" x14ac:dyDescent="0.85">
      <c r="A95" s="166" t="s">
        <v>185</v>
      </c>
      <c r="B95" s="166"/>
      <c r="C95" s="166"/>
      <c r="D95" s="166"/>
      <c r="E95" s="166"/>
      <c r="F95" s="166"/>
      <c r="G95" s="166"/>
    </row>
    <row r="96" spans="1:7" ht="54.9" x14ac:dyDescent="0.85">
      <c r="A96" s="68" t="s">
        <v>163</v>
      </c>
      <c r="B96" s="68" t="s">
        <v>164</v>
      </c>
      <c r="C96" s="68" t="s">
        <v>165</v>
      </c>
      <c r="D96" s="68" t="s">
        <v>166</v>
      </c>
      <c r="E96" s="68" t="s">
        <v>167</v>
      </c>
      <c r="F96" s="68" t="s">
        <v>168</v>
      </c>
      <c r="G96" s="68" t="s">
        <v>169</v>
      </c>
    </row>
    <row r="97" spans="1:7" x14ac:dyDescent="0.85">
      <c r="A97" s="69">
        <v>1880</v>
      </c>
      <c r="B97" s="69">
        <v>90</v>
      </c>
      <c r="C97" s="70">
        <v>0.11</v>
      </c>
      <c r="D97" s="70">
        <v>1</v>
      </c>
      <c r="E97" s="70">
        <v>0.97299999999999998</v>
      </c>
      <c r="F97" s="70">
        <v>1</v>
      </c>
      <c r="G97" s="69">
        <f>A97*C97*D97*E97*F97</f>
        <v>201.21639999999999</v>
      </c>
    </row>
    <row r="98" spans="1:7" x14ac:dyDescent="0.85">
      <c r="A98" s="69">
        <v>1880</v>
      </c>
      <c r="B98" s="69">
        <v>100</v>
      </c>
      <c r="C98" s="70">
        <v>0.15</v>
      </c>
      <c r="D98" s="70">
        <v>1</v>
      </c>
      <c r="E98" s="70">
        <f>E97</f>
        <v>0.97299999999999998</v>
      </c>
      <c r="F98" s="70">
        <v>1</v>
      </c>
      <c r="G98" s="69">
        <f t="shared" ref="G98:G113" si="3">A98*C98*D98*E98*F98</f>
        <v>274.38599999999997</v>
      </c>
    </row>
    <row r="99" spans="1:7" x14ac:dyDescent="0.85">
      <c r="A99" s="69">
        <v>1880</v>
      </c>
      <c r="B99" s="69">
        <v>110</v>
      </c>
      <c r="C99" s="70">
        <v>0.2</v>
      </c>
      <c r="D99" s="70">
        <v>1</v>
      </c>
      <c r="E99" s="70">
        <f t="shared" ref="E99:E113" si="4">E98</f>
        <v>0.97299999999999998</v>
      </c>
      <c r="F99" s="70">
        <v>1</v>
      </c>
      <c r="G99" s="69">
        <f t="shared" si="3"/>
        <v>365.84800000000001</v>
      </c>
    </row>
    <row r="100" spans="1:7" x14ac:dyDescent="0.85">
      <c r="A100" s="69">
        <v>1880</v>
      </c>
      <c r="B100" s="69">
        <v>120</v>
      </c>
      <c r="C100" s="70">
        <v>0.26</v>
      </c>
      <c r="D100" s="70">
        <v>1</v>
      </c>
      <c r="E100" s="70">
        <f t="shared" si="4"/>
        <v>0.97299999999999998</v>
      </c>
      <c r="F100" s="70">
        <v>1</v>
      </c>
      <c r="G100" s="69">
        <f t="shared" si="3"/>
        <v>475.60239999999999</v>
      </c>
    </row>
    <row r="101" spans="1:7" x14ac:dyDescent="0.85">
      <c r="A101" s="69">
        <v>1880</v>
      </c>
      <c r="B101" s="69">
        <v>130</v>
      </c>
      <c r="C101" s="70">
        <v>0.33</v>
      </c>
      <c r="D101" s="70">
        <v>1</v>
      </c>
      <c r="E101" s="70">
        <f t="shared" si="4"/>
        <v>0.97299999999999998</v>
      </c>
      <c r="F101" s="70">
        <v>1</v>
      </c>
      <c r="G101" s="69">
        <f t="shared" si="3"/>
        <v>603.64919999999995</v>
      </c>
    </row>
    <row r="102" spans="1:7" x14ac:dyDescent="0.85">
      <c r="A102" s="69">
        <v>1880</v>
      </c>
      <c r="B102" s="69">
        <v>140</v>
      </c>
      <c r="C102" s="70">
        <v>0.4</v>
      </c>
      <c r="D102" s="70">
        <v>1</v>
      </c>
      <c r="E102" s="70">
        <f t="shared" si="4"/>
        <v>0.97299999999999998</v>
      </c>
      <c r="F102" s="70">
        <v>1</v>
      </c>
      <c r="G102" s="69">
        <f t="shared" si="3"/>
        <v>731.69600000000003</v>
      </c>
    </row>
    <row r="103" spans="1:7" x14ac:dyDescent="0.85">
      <c r="A103" s="69">
        <v>1880</v>
      </c>
      <c r="B103" s="69">
        <v>150</v>
      </c>
      <c r="C103" s="70">
        <v>0.45</v>
      </c>
      <c r="D103" s="70">
        <v>1</v>
      </c>
      <c r="E103" s="70">
        <f t="shared" si="4"/>
        <v>0.97299999999999998</v>
      </c>
      <c r="F103" s="70">
        <v>1</v>
      </c>
      <c r="G103" s="69">
        <f t="shared" si="3"/>
        <v>823.15800000000002</v>
      </c>
    </row>
    <row r="104" spans="1:7" x14ac:dyDescent="0.85">
      <c r="A104" s="69">
        <v>1880</v>
      </c>
      <c r="B104" s="69">
        <v>160</v>
      </c>
      <c r="C104" s="70">
        <v>0.53</v>
      </c>
      <c r="D104" s="70">
        <v>1</v>
      </c>
      <c r="E104" s="70">
        <f t="shared" si="4"/>
        <v>0.97299999999999998</v>
      </c>
      <c r="F104" s="70">
        <v>1</v>
      </c>
      <c r="G104" s="69">
        <f t="shared" si="3"/>
        <v>969.49720000000002</v>
      </c>
    </row>
    <row r="105" spans="1:7" x14ac:dyDescent="0.85">
      <c r="A105" s="69">
        <v>1880</v>
      </c>
      <c r="B105" s="69">
        <v>170</v>
      </c>
      <c r="C105" s="70">
        <v>0.61</v>
      </c>
      <c r="D105" s="70">
        <v>1</v>
      </c>
      <c r="E105" s="70">
        <f t="shared" si="4"/>
        <v>0.97299999999999998</v>
      </c>
      <c r="F105" s="70">
        <v>1</v>
      </c>
      <c r="G105" s="69">
        <f t="shared" si="3"/>
        <v>1115.8363999999999</v>
      </c>
    </row>
    <row r="106" spans="1:7" x14ac:dyDescent="0.85">
      <c r="A106" s="69">
        <v>1880</v>
      </c>
      <c r="B106" s="69">
        <v>180</v>
      </c>
      <c r="C106" s="70">
        <v>0.69</v>
      </c>
      <c r="D106" s="70">
        <v>1</v>
      </c>
      <c r="E106" s="70">
        <f t="shared" si="4"/>
        <v>0.97299999999999998</v>
      </c>
      <c r="F106" s="70">
        <v>1</v>
      </c>
      <c r="G106" s="69">
        <f t="shared" si="3"/>
        <v>1262.1755999999998</v>
      </c>
    </row>
    <row r="107" spans="1:7" x14ac:dyDescent="0.85">
      <c r="A107" s="69">
        <v>1880</v>
      </c>
      <c r="B107" s="69">
        <v>190</v>
      </c>
      <c r="C107" s="70">
        <v>0.78</v>
      </c>
      <c r="D107" s="70">
        <v>1</v>
      </c>
      <c r="E107" s="70">
        <f t="shared" si="4"/>
        <v>0.97299999999999998</v>
      </c>
      <c r="F107" s="70">
        <v>1</v>
      </c>
      <c r="G107" s="69">
        <f t="shared" si="3"/>
        <v>1426.8072</v>
      </c>
    </row>
    <row r="108" spans="1:7" x14ac:dyDescent="0.85">
      <c r="A108" s="69">
        <v>1880</v>
      </c>
      <c r="B108" s="69">
        <v>200</v>
      </c>
      <c r="C108" s="70">
        <v>0.86</v>
      </c>
      <c r="D108" s="70">
        <v>1</v>
      </c>
      <c r="E108" s="70">
        <f t="shared" si="4"/>
        <v>0.97299999999999998</v>
      </c>
      <c r="F108" s="70">
        <v>1</v>
      </c>
      <c r="G108" s="69">
        <f t="shared" si="3"/>
        <v>1573.1463999999999</v>
      </c>
    </row>
    <row r="109" spans="1:7" x14ac:dyDescent="0.85">
      <c r="A109" s="69">
        <v>1880</v>
      </c>
      <c r="B109" s="69">
        <v>210</v>
      </c>
      <c r="C109" s="70">
        <v>0.95</v>
      </c>
      <c r="D109" s="70">
        <v>1</v>
      </c>
      <c r="E109" s="70">
        <f t="shared" si="4"/>
        <v>0.97299999999999998</v>
      </c>
      <c r="F109" s="70">
        <v>1</v>
      </c>
      <c r="G109" s="69">
        <f t="shared" si="3"/>
        <v>1737.778</v>
      </c>
    </row>
    <row r="110" spans="1:7" x14ac:dyDescent="0.85">
      <c r="A110" s="69">
        <v>1880</v>
      </c>
      <c r="B110" s="69">
        <v>215</v>
      </c>
      <c r="C110" s="70">
        <v>1</v>
      </c>
      <c r="D110" s="70">
        <v>1</v>
      </c>
      <c r="E110" s="70">
        <f t="shared" si="4"/>
        <v>0.97299999999999998</v>
      </c>
      <c r="F110" s="70">
        <v>1</v>
      </c>
      <c r="G110" s="69">
        <f t="shared" si="3"/>
        <v>1829.24</v>
      </c>
    </row>
    <row r="111" spans="1:7" x14ac:dyDescent="0.85">
      <c r="A111" s="69">
        <v>1880</v>
      </c>
      <c r="B111" s="69">
        <v>220</v>
      </c>
      <c r="C111" s="70">
        <v>1.05</v>
      </c>
      <c r="D111" s="70">
        <v>1</v>
      </c>
      <c r="E111" s="70">
        <f t="shared" si="4"/>
        <v>0.97299999999999998</v>
      </c>
      <c r="F111" s="70">
        <v>1</v>
      </c>
      <c r="G111" s="69">
        <f t="shared" si="3"/>
        <v>1920.702</v>
      </c>
    </row>
    <row r="112" spans="1:7" x14ac:dyDescent="0.85">
      <c r="A112" s="69">
        <v>1880</v>
      </c>
      <c r="B112" s="69">
        <v>230</v>
      </c>
      <c r="C112" s="70">
        <v>1.1399999999999999</v>
      </c>
      <c r="D112" s="70">
        <v>1</v>
      </c>
      <c r="E112" s="70">
        <f t="shared" si="4"/>
        <v>0.97299999999999998</v>
      </c>
      <c r="F112" s="70">
        <v>1</v>
      </c>
      <c r="G112" s="69">
        <f t="shared" si="3"/>
        <v>2085.3335999999999</v>
      </c>
    </row>
    <row r="113" spans="1:7" x14ac:dyDescent="0.85">
      <c r="A113" s="69">
        <v>1880</v>
      </c>
      <c r="B113" s="69">
        <v>240</v>
      </c>
      <c r="C113" s="70">
        <v>1.25</v>
      </c>
      <c r="D113" s="70">
        <v>1</v>
      </c>
      <c r="E113" s="70">
        <f t="shared" si="4"/>
        <v>0.97299999999999998</v>
      </c>
      <c r="F113" s="70">
        <v>1</v>
      </c>
      <c r="G113" s="69">
        <f t="shared" si="3"/>
        <v>2286.5499999999997</v>
      </c>
    </row>
    <row r="114" spans="1:7" x14ac:dyDescent="0.85">
      <c r="A114" s="165" t="s">
        <v>176</v>
      </c>
      <c r="B114" s="165"/>
      <c r="C114" s="165"/>
      <c r="D114" s="165"/>
      <c r="E114" s="165"/>
      <c r="F114" s="165"/>
      <c r="G114" s="165"/>
    </row>
    <row r="115" spans="1:7" ht="40" customHeight="1" x14ac:dyDescent="0.85">
      <c r="A115" s="166" t="s">
        <v>185</v>
      </c>
      <c r="B115" s="166"/>
      <c r="C115" s="166"/>
      <c r="D115" s="166"/>
      <c r="E115" s="166"/>
      <c r="F115" s="166"/>
      <c r="G115" s="166"/>
    </row>
    <row r="116" spans="1:7" ht="54.9" x14ac:dyDescent="0.85">
      <c r="A116" s="68" t="s">
        <v>163</v>
      </c>
      <c r="B116" s="68" t="s">
        <v>164</v>
      </c>
      <c r="C116" s="68" t="s">
        <v>165</v>
      </c>
      <c r="D116" s="68" t="s">
        <v>166</v>
      </c>
      <c r="E116" s="68" t="s">
        <v>167</v>
      </c>
      <c r="F116" s="68" t="s">
        <v>168</v>
      </c>
      <c r="G116" s="68" t="s">
        <v>169</v>
      </c>
    </row>
    <row r="117" spans="1:7" x14ac:dyDescent="0.85">
      <c r="A117" s="69">
        <v>1880</v>
      </c>
      <c r="B117" s="69">
        <v>90</v>
      </c>
      <c r="C117" s="70">
        <v>0.11</v>
      </c>
      <c r="D117" s="70">
        <v>1</v>
      </c>
      <c r="E117" s="70">
        <v>0.97299999999999998</v>
      </c>
      <c r="F117" s="70">
        <v>1</v>
      </c>
      <c r="G117" s="69">
        <f>A117*C117*D117*E117*F117</f>
        <v>201.21639999999999</v>
      </c>
    </row>
    <row r="118" spans="1:7" x14ac:dyDescent="0.85">
      <c r="A118" s="69">
        <v>1880</v>
      </c>
      <c r="B118" s="69">
        <v>100</v>
      </c>
      <c r="C118" s="70">
        <v>0.15</v>
      </c>
      <c r="D118" s="70">
        <v>1</v>
      </c>
      <c r="E118" s="70">
        <f>E117</f>
        <v>0.97299999999999998</v>
      </c>
      <c r="F118" s="70">
        <v>1</v>
      </c>
      <c r="G118" s="69">
        <f t="shared" ref="G118:G133" si="5">A118*C118*D118*E118*F118</f>
        <v>274.38599999999997</v>
      </c>
    </row>
    <row r="119" spans="1:7" x14ac:dyDescent="0.85">
      <c r="A119" s="69">
        <v>1880</v>
      </c>
      <c r="B119" s="69">
        <v>110</v>
      </c>
      <c r="C119" s="70">
        <v>0.2</v>
      </c>
      <c r="D119" s="70">
        <v>1</v>
      </c>
      <c r="E119" s="70">
        <f t="shared" ref="E119:E133" si="6">E118</f>
        <v>0.97299999999999998</v>
      </c>
      <c r="F119" s="70">
        <v>1</v>
      </c>
      <c r="G119" s="69">
        <f t="shared" si="5"/>
        <v>365.84800000000001</v>
      </c>
    </row>
    <row r="120" spans="1:7" x14ac:dyDescent="0.85">
      <c r="A120" s="69">
        <v>1880</v>
      </c>
      <c r="B120" s="69">
        <v>120</v>
      </c>
      <c r="C120" s="70">
        <v>0.26</v>
      </c>
      <c r="D120" s="70">
        <v>1</v>
      </c>
      <c r="E120" s="70">
        <f t="shared" si="6"/>
        <v>0.97299999999999998</v>
      </c>
      <c r="F120" s="70">
        <v>1</v>
      </c>
      <c r="G120" s="69">
        <f t="shared" si="5"/>
        <v>475.60239999999999</v>
      </c>
    </row>
    <row r="121" spans="1:7" x14ac:dyDescent="0.85">
      <c r="A121" s="69">
        <v>1880</v>
      </c>
      <c r="B121" s="69">
        <v>130</v>
      </c>
      <c r="C121" s="70">
        <v>0.33</v>
      </c>
      <c r="D121" s="70">
        <v>1</v>
      </c>
      <c r="E121" s="70">
        <f t="shared" si="6"/>
        <v>0.97299999999999998</v>
      </c>
      <c r="F121" s="70">
        <v>1</v>
      </c>
      <c r="G121" s="69">
        <f t="shared" si="5"/>
        <v>603.64919999999995</v>
      </c>
    </row>
    <row r="122" spans="1:7" x14ac:dyDescent="0.85">
      <c r="A122" s="69">
        <v>1880</v>
      </c>
      <c r="B122" s="69">
        <v>140</v>
      </c>
      <c r="C122" s="70">
        <v>0.4</v>
      </c>
      <c r="D122" s="70">
        <v>1</v>
      </c>
      <c r="E122" s="70">
        <f t="shared" si="6"/>
        <v>0.97299999999999998</v>
      </c>
      <c r="F122" s="70">
        <v>1</v>
      </c>
      <c r="G122" s="69">
        <f t="shared" si="5"/>
        <v>731.69600000000003</v>
      </c>
    </row>
    <row r="123" spans="1:7" x14ac:dyDescent="0.85">
      <c r="A123" s="69">
        <v>1880</v>
      </c>
      <c r="B123" s="69">
        <v>150</v>
      </c>
      <c r="C123" s="70">
        <v>0.45</v>
      </c>
      <c r="D123" s="70">
        <v>1</v>
      </c>
      <c r="E123" s="70">
        <f t="shared" si="6"/>
        <v>0.97299999999999998</v>
      </c>
      <c r="F123" s="70">
        <v>1</v>
      </c>
      <c r="G123" s="69">
        <f t="shared" si="5"/>
        <v>823.15800000000002</v>
      </c>
    </row>
    <row r="124" spans="1:7" x14ac:dyDescent="0.85">
      <c r="A124" s="69">
        <v>1880</v>
      </c>
      <c r="B124" s="69">
        <v>160</v>
      </c>
      <c r="C124" s="70">
        <v>0.53</v>
      </c>
      <c r="D124" s="70">
        <v>1</v>
      </c>
      <c r="E124" s="70">
        <f t="shared" si="6"/>
        <v>0.97299999999999998</v>
      </c>
      <c r="F124" s="70">
        <v>1</v>
      </c>
      <c r="G124" s="69">
        <f t="shared" si="5"/>
        <v>969.49720000000002</v>
      </c>
    </row>
    <row r="125" spans="1:7" x14ac:dyDescent="0.85">
      <c r="A125" s="69">
        <v>1880</v>
      </c>
      <c r="B125" s="69">
        <v>170</v>
      </c>
      <c r="C125" s="70">
        <v>0.61</v>
      </c>
      <c r="D125" s="70">
        <v>1</v>
      </c>
      <c r="E125" s="70">
        <f t="shared" si="6"/>
        <v>0.97299999999999998</v>
      </c>
      <c r="F125" s="70">
        <v>1</v>
      </c>
      <c r="G125" s="69">
        <f t="shared" si="5"/>
        <v>1115.8363999999999</v>
      </c>
    </row>
    <row r="126" spans="1:7" x14ac:dyDescent="0.85">
      <c r="A126" s="69">
        <v>1880</v>
      </c>
      <c r="B126" s="69">
        <v>180</v>
      </c>
      <c r="C126" s="70">
        <v>0.69</v>
      </c>
      <c r="D126" s="70">
        <v>1</v>
      </c>
      <c r="E126" s="70">
        <f t="shared" si="6"/>
        <v>0.97299999999999998</v>
      </c>
      <c r="F126" s="70">
        <v>1</v>
      </c>
      <c r="G126" s="69">
        <f t="shared" si="5"/>
        <v>1262.1755999999998</v>
      </c>
    </row>
    <row r="127" spans="1:7" x14ac:dyDescent="0.85">
      <c r="A127" s="69">
        <v>1880</v>
      </c>
      <c r="B127" s="69">
        <v>190</v>
      </c>
      <c r="C127" s="70">
        <v>0.78</v>
      </c>
      <c r="D127" s="70">
        <v>1</v>
      </c>
      <c r="E127" s="70">
        <f t="shared" si="6"/>
        <v>0.97299999999999998</v>
      </c>
      <c r="F127" s="70">
        <v>1</v>
      </c>
      <c r="G127" s="69">
        <f t="shared" si="5"/>
        <v>1426.8072</v>
      </c>
    </row>
    <row r="128" spans="1:7" x14ac:dyDescent="0.85">
      <c r="A128" s="69">
        <v>1880</v>
      </c>
      <c r="B128" s="69">
        <v>200</v>
      </c>
      <c r="C128" s="70">
        <v>0.86</v>
      </c>
      <c r="D128" s="70">
        <v>1</v>
      </c>
      <c r="E128" s="70">
        <f t="shared" si="6"/>
        <v>0.97299999999999998</v>
      </c>
      <c r="F128" s="70">
        <v>1</v>
      </c>
      <c r="G128" s="69">
        <f t="shared" si="5"/>
        <v>1573.1463999999999</v>
      </c>
    </row>
    <row r="129" spans="1:7" x14ac:dyDescent="0.85">
      <c r="A129" s="69">
        <v>1880</v>
      </c>
      <c r="B129" s="69">
        <v>210</v>
      </c>
      <c r="C129" s="70">
        <v>0.95</v>
      </c>
      <c r="D129" s="70">
        <v>1</v>
      </c>
      <c r="E129" s="70">
        <f t="shared" si="6"/>
        <v>0.97299999999999998</v>
      </c>
      <c r="F129" s="70">
        <v>1</v>
      </c>
      <c r="G129" s="69">
        <f t="shared" si="5"/>
        <v>1737.778</v>
      </c>
    </row>
    <row r="130" spans="1:7" x14ac:dyDescent="0.85">
      <c r="A130" s="69">
        <v>1880</v>
      </c>
      <c r="B130" s="69">
        <v>215</v>
      </c>
      <c r="C130" s="70">
        <v>1</v>
      </c>
      <c r="D130" s="70">
        <v>1</v>
      </c>
      <c r="E130" s="70">
        <f t="shared" si="6"/>
        <v>0.97299999999999998</v>
      </c>
      <c r="F130" s="70">
        <v>1</v>
      </c>
      <c r="G130" s="69">
        <f t="shared" si="5"/>
        <v>1829.24</v>
      </c>
    </row>
    <row r="131" spans="1:7" x14ac:dyDescent="0.85">
      <c r="A131" s="69">
        <v>1880</v>
      </c>
      <c r="B131" s="69">
        <v>220</v>
      </c>
      <c r="C131" s="70">
        <v>1.05</v>
      </c>
      <c r="D131" s="70">
        <v>1</v>
      </c>
      <c r="E131" s="70">
        <f t="shared" si="6"/>
        <v>0.97299999999999998</v>
      </c>
      <c r="F131" s="70">
        <v>1</v>
      </c>
      <c r="G131" s="69">
        <f t="shared" si="5"/>
        <v>1920.702</v>
      </c>
    </row>
    <row r="132" spans="1:7" x14ac:dyDescent="0.85">
      <c r="A132" s="69">
        <v>1880</v>
      </c>
      <c r="B132" s="69">
        <v>230</v>
      </c>
      <c r="C132" s="70">
        <v>1.1399999999999999</v>
      </c>
      <c r="D132" s="70">
        <v>1</v>
      </c>
      <c r="E132" s="70">
        <f t="shared" si="6"/>
        <v>0.97299999999999998</v>
      </c>
      <c r="F132" s="70">
        <v>1</v>
      </c>
      <c r="G132" s="69">
        <f t="shared" si="5"/>
        <v>2085.3335999999999</v>
      </c>
    </row>
    <row r="133" spans="1:7" x14ac:dyDescent="0.85">
      <c r="A133" s="69">
        <v>1880</v>
      </c>
      <c r="B133" s="69">
        <v>240</v>
      </c>
      <c r="C133" s="70">
        <v>1.25</v>
      </c>
      <c r="D133" s="70">
        <v>1</v>
      </c>
      <c r="E133" s="70">
        <f t="shared" si="6"/>
        <v>0.97299999999999998</v>
      </c>
      <c r="F133" s="70">
        <v>1</v>
      </c>
      <c r="G133" s="69">
        <f t="shared" si="5"/>
        <v>2286.5499999999997</v>
      </c>
    </row>
  </sheetData>
  <mergeCells count="11">
    <mergeCell ref="A75:G75"/>
    <mergeCell ref="A94:G94"/>
    <mergeCell ref="A95:G95"/>
    <mergeCell ref="A114:G114"/>
    <mergeCell ref="A115:G115"/>
    <mergeCell ref="A74:G74"/>
    <mergeCell ref="A34:G34"/>
    <mergeCell ref="A35:G35"/>
    <mergeCell ref="H36:I36"/>
    <mergeCell ref="A54:G54"/>
    <mergeCell ref="A55:G55"/>
  </mergeCells>
  <pageMargins left="0.7" right="0.7" top="0.75" bottom="0.75" header="0.3" footer="0.3"/>
  <drawing r:id="rId1"/>
  <legacyDrawing r:id="rId2"/>
  <oleObjects>
    <mc:AlternateContent xmlns:mc="http://schemas.openxmlformats.org/markup-compatibility/2006">
      <mc:Choice Requires="x14">
        <oleObject progId="Equation.DSMT4" shapeId="4097" r:id="rId3">
          <objectPr defaultSize="0" r:id="rId4">
            <anchor moveWithCells="1">
              <from>
                <xdr:col>0</xdr:col>
                <xdr:colOff>0</xdr:colOff>
                <xdr:row>0</xdr:row>
                <xdr:rowOff>0</xdr:rowOff>
              </from>
              <to>
                <xdr:col>7</xdr:col>
                <xdr:colOff>259080</xdr:colOff>
                <xdr:row>25</xdr:row>
                <xdr:rowOff>19050</xdr:rowOff>
              </to>
            </anchor>
          </objectPr>
        </oleObject>
      </mc:Choice>
      <mc:Fallback>
        <oleObject progId="Equation.DSMT4" shapeId="4097"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5"/>
  <sheetViews>
    <sheetView workbookViewId="0"/>
  </sheetViews>
  <sheetFormatPr defaultRowHeight="18.3" x14ac:dyDescent="0.85"/>
  <cols>
    <col min="1" max="1" width="29.08203125" style="89" bestFit="1" customWidth="1"/>
  </cols>
  <sheetData>
    <row r="1" spans="1:5" x14ac:dyDescent="0.85">
      <c r="A1" s="89" t="s">
        <v>219</v>
      </c>
      <c r="B1" s="28">
        <f>'Design Data'!C97</f>
        <v>22306.397306397306</v>
      </c>
      <c r="C1" s="90" t="s">
        <v>231</v>
      </c>
    </row>
    <row r="2" spans="1:5" x14ac:dyDescent="0.85">
      <c r="A2" s="89" t="s">
        <v>232</v>
      </c>
      <c r="B2" s="28">
        <v>500</v>
      </c>
      <c r="C2" s="25" t="s">
        <v>233</v>
      </c>
    </row>
    <row r="3" spans="1:5" x14ac:dyDescent="0.85">
      <c r="A3" s="89" t="s">
        <v>234</v>
      </c>
      <c r="B3" s="28">
        <f>B1/B2</f>
        <v>44.612794612794616</v>
      </c>
      <c r="C3" s="25" t="s">
        <v>15</v>
      </c>
    </row>
    <row r="4" spans="1:5" x14ac:dyDescent="0.85">
      <c r="A4" s="89" t="s">
        <v>235</v>
      </c>
      <c r="B4" s="31">
        <v>6</v>
      </c>
      <c r="C4" s="25" t="s">
        <v>184</v>
      </c>
      <c r="D4" s="28">
        <f>B4*12</f>
        <v>72</v>
      </c>
      <c r="E4" t="s">
        <v>237</v>
      </c>
    </row>
    <row r="5" spans="1:5" x14ac:dyDescent="0.85">
      <c r="A5" s="89" t="s">
        <v>238</v>
      </c>
      <c r="B5" s="31">
        <f>B3/B4</f>
        <v>7.4354657687991024</v>
      </c>
      <c r="C5" s="25" t="s">
        <v>184</v>
      </c>
      <c r="D5" s="28">
        <f>B5*12</f>
        <v>89.225589225589232</v>
      </c>
      <c r="E5" t="s">
        <v>237</v>
      </c>
    </row>
    <row r="6" spans="1:5" x14ac:dyDescent="0.85">
      <c r="A6" s="89" t="s">
        <v>236</v>
      </c>
      <c r="B6" s="28">
        <v>8</v>
      </c>
      <c r="C6" s="25" t="s">
        <v>184</v>
      </c>
      <c r="D6" s="28">
        <f>B6*12</f>
        <v>96</v>
      </c>
      <c r="E6" t="s">
        <v>237</v>
      </c>
    </row>
    <row r="7" spans="1:5" x14ac:dyDescent="0.85">
      <c r="A7" s="89" t="s">
        <v>220</v>
      </c>
      <c r="B7" s="31">
        <f>'Design Data'!C117</f>
        <v>62</v>
      </c>
      <c r="C7" s="25" t="s">
        <v>36</v>
      </c>
    </row>
    <row r="8" spans="1:5" x14ac:dyDescent="0.85">
      <c r="A8" s="89" t="s">
        <v>250</v>
      </c>
      <c r="B8" s="31">
        <f>'Design Data'!C115</f>
        <v>85</v>
      </c>
      <c r="C8" s="25" t="s">
        <v>36</v>
      </c>
    </row>
    <row r="9" spans="1:5" x14ac:dyDescent="0.85">
      <c r="A9" s="89" t="s">
        <v>251</v>
      </c>
      <c r="B9" s="28">
        <f>1.08*B1*(B8-B7)</f>
        <v>554090.90909090906</v>
      </c>
      <c r="C9" s="25" t="s">
        <v>59</v>
      </c>
    </row>
    <row r="10" spans="1:5" x14ac:dyDescent="0.85">
      <c r="A10" s="89" t="s">
        <v>252</v>
      </c>
      <c r="B10" s="28">
        <f>B9/(500*(B11-B12))</f>
        <v>27.704545454545453</v>
      </c>
      <c r="C10" s="25" t="s">
        <v>190</v>
      </c>
    </row>
    <row r="11" spans="1:5" x14ac:dyDescent="0.85">
      <c r="A11" s="89" t="s">
        <v>221</v>
      </c>
      <c r="B11" s="28">
        <f>'Design Data'!F195</f>
        <v>170</v>
      </c>
      <c r="C11" s="25" t="s">
        <v>36</v>
      </c>
    </row>
    <row r="12" spans="1:5" x14ac:dyDescent="0.85">
      <c r="A12" s="89" t="s">
        <v>253</v>
      </c>
      <c r="B12" s="28">
        <f>B11-40</f>
        <v>130</v>
      </c>
      <c r="C12" s="25" t="s">
        <v>36</v>
      </c>
    </row>
    <row r="13" spans="1:5" x14ac:dyDescent="0.85">
      <c r="A13" s="89" t="s">
        <v>254</v>
      </c>
      <c r="B13" s="28">
        <f>586.2*1000</f>
        <v>586200</v>
      </c>
      <c r="C13" s="25" t="s">
        <v>59</v>
      </c>
    </row>
    <row r="14" spans="1:5" x14ac:dyDescent="0.85">
      <c r="A14" s="89" t="s">
        <v>255</v>
      </c>
      <c r="B14" s="31">
        <v>29.8</v>
      </c>
      <c r="C14" s="25" t="s">
        <v>190</v>
      </c>
    </row>
    <row r="15" spans="1:5" x14ac:dyDescent="0.85">
      <c r="A15" s="89" t="s">
        <v>256</v>
      </c>
      <c r="B15" s="31">
        <v>130</v>
      </c>
      <c r="C15" s="25" t="s">
        <v>36</v>
      </c>
    </row>
    <row r="16" spans="1:5" x14ac:dyDescent="0.85">
      <c r="A16" s="89" t="s">
        <v>259</v>
      </c>
      <c r="B16" s="31">
        <v>86.3</v>
      </c>
      <c r="C16" s="25" t="s">
        <v>36</v>
      </c>
    </row>
    <row r="17" spans="2:3" x14ac:dyDescent="0.85">
      <c r="B17" s="28"/>
      <c r="C17" s="28"/>
    </row>
    <row r="18" spans="2:3" x14ac:dyDescent="0.85">
      <c r="B18" s="28"/>
      <c r="C18" s="28"/>
    </row>
    <row r="19" spans="2:3" x14ac:dyDescent="0.85">
      <c r="B19" s="28"/>
      <c r="C19" s="28"/>
    </row>
    <row r="20" spans="2:3" x14ac:dyDescent="0.85">
      <c r="B20" s="28"/>
      <c r="C20" s="28"/>
    </row>
    <row r="21" spans="2:3" x14ac:dyDescent="0.85">
      <c r="B21" s="28"/>
      <c r="C21" s="28"/>
    </row>
    <row r="22" spans="2:3" x14ac:dyDescent="0.85">
      <c r="B22" s="28"/>
      <c r="C22" s="28"/>
    </row>
    <row r="23" spans="2:3" x14ac:dyDescent="0.85">
      <c r="B23" s="28"/>
      <c r="C23" s="28"/>
    </row>
    <row r="24" spans="2:3" x14ac:dyDescent="0.85">
      <c r="B24" s="28"/>
      <c r="C24" s="28"/>
    </row>
    <row r="25" spans="2:3" x14ac:dyDescent="0.85">
      <c r="B25" s="28"/>
      <c r="C25" s="28"/>
    </row>
    <row r="26" spans="2:3" x14ac:dyDescent="0.85">
      <c r="B26" s="28"/>
      <c r="C26" s="28"/>
    </row>
    <row r="27" spans="2:3" x14ac:dyDescent="0.85">
      <c r="B27" s="28"/>
      <c r="C27" s="28"/>
    </row>
    <row r="28" spans="2:3" x14ac:dyDescent="0.85">
      <c r="B28" s="28"/>
      <c r="C28" s="28"/>
    </row>
    <row r="29" spans="2:3" x14ac:dyDescent="0.85">
      <c r="B29" s="28"/>
      <c r="C29" s="28"/>
    </row>
    <row r="30" spans="2:3" x14ac:dyDescent="0.85">
      <c r="B30" s="28"/>
      <c r="C30" s="28"/>
    </row>
    <row r="31" spans="2:3" x14ac:dyDescent="0.85">
      <c r="B31" s="28"/>
      <c r="C31" s="28"/>
    </row>
    <row r="32" spans="2:3" x14ac:dyDescent="0.85">
      <c r="B32" s="28"/>
      <c r="C32" s="28"/>
    </row>
    <row r="33" spans="2:3" x14ac:dyDescent="0.85">
      <c r="B33" s="28"/>
      <c r="C33" s="28"/>
    </row>
    <row r="34" spans="2:3" x14ac:dyDescent="0.85">
      <c r="B34" s="28"/>
      <c r="C34" s="28"/>
    </row>
    <row r="35" spans="2:3" x14ac:dyDescent="0.85">
      <c r="B35" s="28"/>
      <c r="C35" s="28"/>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78"/>
  <sheetViews>
    <sheetView workbookViewId="0"/>
  </sheetViews>
  <sheetFormatPr defaultColWidth="8.7890625" defaultRowHeight="18.3" x14ac:dyDescent="0.85"/>
  <cols>
    <col min="1" max="2" width="8.7890625" style="95"/>
    <col min="3" max="3" width="20.70703125" style="95" customWidth="1"/>
    <col min="4" max="10" width="8.7890625" style="95"/>
    <col min="11" max="12" width="20.70703125" style="95" customWidth="1"/>
    <col min="13" max="16384" width="8.7890625" style="95"/>
  </cols>
  <sheetData>
    <row r="1" spans="1:5" x14ac:dyDescent="0.85">
      <c r="A1" s="95" t="s">
        <v>308</v>
      </c>
    </row>
    <row r="2" spans="1:5" x14ac:dyDescent="0.85">
      <c r="A2" s="95" t="s">
        <v>316</v>
      </c>
    </row>
    <row r="3" spans="1:5" x14ac:dyDescent="0.85">
      <c r="C3" s="97" t="s">
        <v>219</v>
      </c>
      <c r="D3" s="97">
        <f>'Design Data'!C178</f>
        <v>2355.5555555555557</v>
      </c>
      <c r="E3" s="98" t="s">
        <v>33</v>
      </c>
    </row>
    <row r="4" spans="1:5" x14ac:dyDescent="0.85">
      <c r="C4" s="97" t="s">
        <v>309</v>
      </c>
      <c r="D4" s="97">
        <f>'Design Data'!C175</f>
        <v>53</v>
      </c>
      <c r="E4" s="98" t="s">
        <v>36</v>
      </c>
    </row>
    <row r="5" spans="1:5" x14ac:dyDescent="0.85">
      <c r="C5" s="97" t="s">
        <v>310</v>
      </c>
      <c r="D5" s="97">
        <v>82</v>
      </c>
      <c r="E5" s="98" t="s">
        <v>36</v>
      </c>
    </row>
    <row r="6" spans="1:5" x14ac:dyDescent="0.85">
      <c r="C6" s="97" t="s">
        <v>311</v>
      </c>
      <c r="D6" s="97">
        <v>500</v>
      </c>
      <c r="E6" s="98" t="s">
        <v>325</v>
      </c>
    </row>
    <row r="7" spans="1:5" x14ac:dyDescent="0.85">
      <c r="C7" s="97" t="s">
        <v>327</v>
      </c>
      <c r="D7" s="97">
        <f>(('Design Data'!C15-(2*'Design Data'!C17))*'Design Data'!C17)</f>
        <v>2112</v>
      </c>
      <c r="E7" s="98" t="s">
        <v>15</v>
      </c>
    </row>
    <row r="8" spans="1:5" x14ac:dyDescent="0.85">
      <c r="C8" s="97" t="s">
        <v>328</v>
      </c>
      <c r="D8" s="97">
        <f>'Design Data'!C38</f>
        <v>115</v>
      </c>
      <c r="E8" s="98" t="s">
        <v>329</v>
      </c>
    </row>
    <row r="9" spans="1:5" x14ac:dyDescent="0.85">
      <c r="C9" s="97" t="s">
        <v>326</v>
      </c>
      <c r="D9" s="97">
        <f>D7/D8</f>
        <v>18.365217391304348</v>
      </c>
      <c r="E9" s="98" t="s">
        <v>129</v>
      </c>
    </row>
    <row r="10" spans="1:5" x14ac:dyDescent="0.85">
      <c r="C10" s="97" t="s">
        <v>331</v>
      </c>
      <c r="D10" s="97">
        <v>15</v>
      </c>
      <c r="E10" s="98" t="s">
        <v>330</v>
      </c>
    </row>
    <row r="11" spans="1:5" x14ac:dyDescent="0.85">
      <c r="C11" s="97" t="s">
        <v>332</v>
      </c>
      <c r="D11" s="104">
        <f>'Design Data'!C172</f>
        <v>0.23255813953488372</v>
      </c>
      <c r="E11" s="98"/>
    </row>
    <row r="12" spans="1:5" x14ac:dyDescent="0.85">
      <c r="C12" s="97" t="s">
        <v>333</v>
      </c>
      <c r="D12" s="97">
        <f>D10*D9</f>
        <v>275.47826086956525</v>
      </c>
      <c r="E12" s="98" t="s">
        <v>33</v>
      </c>
    </row>
    <row r="13" spans="1:5" x14ac:dyDescent="0.85">
      <c r="C13" s="97" t="s">
        <v>334</v>
      </c>
      <c r="D13" s="97">
        <f>D12/D11</f>
        <v>1184.5565217391306</v>
      </c>
      <c r="E13" s="98" t="s">
        <v>33</v>
      </c>
    </row>
    <row r="14" spans="1:5" x14ac:dyDescent="0.85">
      <c r="C14" s="97" t="s">
        <v>313</v>
      </c>
      <c r="D14" s="97">
        <v>18</v>
      </c>
      <c r="E14" s="98" t="s">
        <v>315</v>
      </c>
    </row>
    <row r="15" spans="1:5" x14ac:dyDescent="0.85">
      <c r="C15" s="97" t="s">
        <v>314</v>
      </c>
      <c r="D15" s="97">
        <f>((D3/D6)*144)/D14</f>
        <v>37.68888888888889</v>
      </c>
      <c r="E15" s="98" t="s">
        <v>315</v>
      </c>
    </row>
    <row r="16" spans="1:5" x14ac:dyDescent="0.85">
      <c r="C16" s="97" t="s">
        <v>312</v>
      </c>
      <c r="D16" s="97">
        <f>'Warm-up Coil'!B11</f>
        <v>170</v>
      </c>
      <c r="E16" s="98" t="s">
        <v>36</v>
      </c>
    </row>
    <row r="17" spans="1:34" x14ac:dyDescent="0.85">
      <c r="C17" s="97" t="s">
        <v>341</v>
      </c>
      <c r="D17" s="99">
        <v>7.7</v>
      </c>
      <c r="E17" s="98" t="s">
        <v>190</v>
      </c>
    </row>
    <row r="18" spans="1:34" x14ac:dyDescent="0.85">
      <c r="C18" s="97" t="s">
        <v>340</v>
      </c>
      <c r="D18" s="106">
        <f>D17/D7</f>
        <v>3.6458333333333334E-3</v>
      </c>
      <c r="E18" s="98" t="s">
        <v>342</v>
      </c>
    </row>
    <row r="19" spans="1:34" x14ac:dyDescent="0.85">
      <c r="C19" s="97" t="s">
        <v>343</v>
      </c>
      <c r="D19" s="97">
        <f>'Design Data'!C13/'Design Data'!C14</f>
        <v>10000</v>
      </c>
      <c r="E19" s="98" t="s">
        <v>15</v>
      </c>
    </row>
    <row r="20" spans="1:34" x14ac:dyDescent="0.85">
      <c r="C20" s="97" t="s">
        <v>344</v>
      </c>
      <c r="D20" s="99">
        <f>D19*D18</f>
        <v>36.458333333333336</v>
      </c>
      <c r="E20" s="98" t="s">
        <v>190</v>
      </c>
    </row>
    <row r="21" spans="1:34" x14ac:dyDescent="0.85">
      <c r="C21" s="97"/>
      <c r="D21" s="97"/>
      <c r="E21" s="98"/>
    </row>
    <row r="22" spans="1:34" x14ac:dyDescent="0.85">
      <c r="A22" s="95" t="s">
        <v>335</v>
      </c>
      <c r="J22" s="95" t="s">
        <v>317</v>
      </c>
      <c r="R22" s="95" t="s">
        <v>318</v>
      </c>
      <c r="Z22" s="95" t="s">
        <v>319</v>
      </c>
      <c r="AH22" s="95" t="s">
        <v>320</v>
      </c>
    </row>
    <row r="43" spans="1:34" x14ac:dyDescent="0.85">
      <c r="A43" s="95" t="s">
        <v>336</v>
      </c>
      <c r="J43" s="95" t="s">
        <v>321</v>
      </c>
      <c r="R43" s="95" t="s">
        <v>322</v>
      </c>
      <c r="Z43" s="95" t="s">
        <v>323</v>
      </c>
      <c r="AH43" s="95" t="s">
        <v>324</v>
      </c>
    </row>
    <row r="67" spans="10:12" x14ac:dyDescent="0.85">
      <c r="J67" s="69" t="s">
        <v>337</v>
      </c>
      <c r="K67" s="69" t="s">
        <v>338</v>
      </c>
      <c r="L67" s="69" t="s">
        <v>339</v>
      </c>
    </row>
    <row r="68" spans="10:12" x14ac:dyDescent="0.85">
      <c r="J68" s="69">
        <v>90</v>
      </c>
      <c r="K68" s="105">
        <v>62.1</v>
      </c>
      <c r="L68" s="105">
        <v>65.400000000000006</v>
      </c>
    </row>
    <row r="69" spans="10:12" x14ac:dyDescent="0.85">
      <c r="J69" s="69">
        <v>110</v>
      </c>
      <c r="K69" s="105">
        <v>67.2</v>
      </c>
      <c r="L69" s="105">
        <v>72.3</v>
      </c>
    </row>
    <row r="70" spans="10:12" x14ac:dyDescent="0.85">
      <c r="J70" s="69">
        <v>130</v>
      </c>
      <c r="K70" s="105">
        <v>72.400000000000006</v>
      </c>
      <c r="L70" s="105">
        <v>79.2</v>
      </c>
    </row>
    <row r="71" spans="10:12" x14ac:dyDescent="0.85">
      <c r="J71" s="69">
        <v>150</v>
      </c>
      <c r="K71" s="105">
        <v>77.5</v>
      </c>
      <c r="L71" s="105">
        <v>86.1</v>
      </c>
    </row>
    <row r="72" spans="10:12" x14ac:dyDescent="0.85">
      <c r="J72" s="69">
        <v>170</v>
      </c>
      <c r="K72" s="105">
        <v>82.7</v>
      </c>
      <c r="L72" s="105">
        <v>93</v>
      </c>
    </row>
    <row r="73" spans="10:12" x14ac:dyDescent="0.85">
      <c r="J73" s="69"/>
      <c r="K73" s="105"/>
      <c r="L73" s="96"/>
    </row>
    <row r="74" spans="10:12" x14ac:dyDescent="0.85">
      <c r="J74" s="69"/>
      <c r="K74" s="69"/>
    </row>
    <row r="75" spans="10:12" x14ac:dyDescent="0.85">
      <c r="J75" s="69"/>
      <c r="K75" s="69"/>
    </row>
    <row r="76" spans="10:12" x14ac:dyDescent="0.85">
      <c r="J76" s="69"/>
      <c r="K76" s="69"/>
    </row>
    <row r="77" spans="10:12" x14ac:dyDescent="0.85">
      <c r="J77" s="69"/>
      <c r="K77" s="69"/>
    </row>
    <row r="78" spans="10:12" x14ac:dyDescent="0.85">
      <c r="J78" s="69"/>
      <c r="K78" s="6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54"/>
  <sheetViews>
    <sheetView workbookViewId="0"/>
  </sheetViews>
  <sheetFormatPr defaultColWidth="8.7890625" defaultRowHeight="18.3" x14ac:dyDescent="0.85"/>
  <cols>
    <col min="1" max="1" width="36.58203125" style="95" bestFit="1" customWidth="1"/>
    <col min="2" max="6" width="8.7890625" style="95"/>
    <col min="7" max="7" width="11.5" style="95" bestFit="1" customWidth="1"/>
    <col min="8" max="16384" width="8.7890625" style="95"/>
  </cols>
  <sheetData>
    <row r="1" spans="1:9" x14ac:dyDescent="0.85">
      <c r="A1" s="95" t="s">
        <v>463</v>
      </c>
    </row>
    <row r="2" spans="1:9" x14ac:dyDescent="0.85">
      <c r="A2" s="97" t="s">
        <v>260</v>
      </c>
      <c r="B2" s="96">
        <f>'Design Data'!I198</f>
        <v>87.4</v>
      </c>
      <c r="C2" s="95" t="s">
        <v>190</v>
      </c>
    </row>
    <row r="3" spans="1:9" x14ac:dyDescent="0.85">
      <c r="A3" s="97" t="s">
        <v>261</v>
      </c>
      <c r="B3" s="96"/>
    </row>
    <row r="4" spans="1:9" x14ac:dyDescent="0.85">
      <c r="A4" s="97" t="s">
        <v>262</v>
      </c>
      <c r="B4" s="96">
        <f>'Second Floor FTR'!R65</f>
        <v>22.5</v>
      </c>
      <c r="C4" s="95" t="s">
        <v>247</v>
      </c>
    </row>
    <row r="5" spans="1:9" x14ac:dyDescent="0.85">
      <c r="A5" s="97" t="s">
        <v>265</v>
      </c>
      <c r="B5" s="96">
        <f>(D5/100)*F5</f>
        <v>9.3000000000000007</v>
      </c>
      <c r="C5" s="95" t="s">
        <v>247</v>
      </c>
      <c r="D5" s="95">
        <f>('Design Data'!C15*2)+('Design Data'!C16*2)</f>
        <v>500</v>
      </c>
      <c r="E5" s="95" t="s">
        <v>20</v>
      </c>
      <c r="F5" s="96">
        <v>1.86</v>
      </c>
      <c r="G5" s="95" t="s">
        <v>264</v>
      </c>
      <c r="I5" s="95" t="s">
        <v>263</v>
      </c>
    </row>
    <row r="6" spans="1:9" x14ac:dyDescent="0.85">
      <c r="A6" s="97" t="s">
        <v>266</v>
      </c>
      <c r="B6" s="96">
        <f>0.5*B5</f>
        <v>4.6500000000000004</v>
      </c>
      <c r="C6" s="95" t="s">
        <v>247</v>
      </c>
    </row>
    <row r="7" spans="1:9" x14ac:dyDescent="0.85">
      <c r="A7" s="97" t="s">
        <v>267</v>
      </c>
      <c r="B7" s="96">
        <v>5</v>
      </c>
      <c r="C7" s="95" t="s">
        <v>247</v>
      </c>
    </row>
    <row r="8" spans="1:9" x14ac:dyDescent="0.85">
      <c r="A8" s="97" t="s">
        <v>268</v>
      </c>
      <c r="B8" s="96">
        <f>SUM(B4:B7)*0.1</f>
        <v>4.1450000000000005</v>
      </c>
      <c r="C8" s="95" t="s">
        <v>247</v>
      </c>
    </row>
    <row r="9" spans="1:9" x14ac:dyDescent="0.85">
      <c r="A9" s="97" t="s">
        <v>269</v>
      </c>
      <c r="B9" s="96">
        <f>SUM(B4:B8)</f>
        <v>45.595000000000006</v>
      </c>
      <c r="C9" s="95" t="s">
        <v>247</v>
      </c>
    </row>
    <row r="10" spans="1:9" x14ac:dyDescent="0.85">
      <c r="A10" s="98" t="s">
        <v>270</v>
      </c>
      <c r="B10" s="96"/>
    </row>
    <row r="11" spans="1:9" x14ac:dyDescent="0.85">
      <c r="A11" s="97" t="s">
        <v>271</v>
      </c>
      <c r="B11" s="96"/>
    </row>
    <row r="12" spans="1:9" x14ac:dyDescent="0.85">
      <c r="A12" s="97" t="s">
        <v>272</v>
      </c>
      <c r="B12" s="96">
        <f>B2</f>
        <v>87.4</v>
      </c>
    </row>
    <row r="13" spans="1:9" x14ac:dyDescent="0.85">
      <c r="A13" s="97" t="s">
        <v>273</v>
      </c>
      <c r="B13" s="96">
        <f>B9</f>
        <v>45.595000000000006</v>
      </c>
    </row>
    <row r="14" spans="1:9" x14ac:dyDescent="0.85">
      <c r="A14" s="97" t="s">
        <v>276</v>
      </c>
      <c r="B14" s="95">
        <v>1750</v>
      </c>
    </row>
    <row r="15" spans="1:9" x14ac:dyDescent="0.85">
      <c r="A15" s="97" t="s">
        <v>274</v>
      </c>
      <c r="B15" s="96">
        <v>1.33</v>
      </c>
    </row>
    <row r="16" spans="1:9" x14ac:dyDescent="0.85">
      <c r="A16" s="97" t="s">
        <v>275</v>
      </c>
      <c r="B16" s="100">
        <v>0.75849999999999995</v>
      </c>
    </row>
    <row r="17" spans="1:7" x14ac:dyDescent="0.85">
      <c r="A17" s="97" t="s">
        <v>277</v>
      </c>
      <c r="B17" s="95">
        <v>2</v>
      </c>
    </row>
    <row r="18" spans="1:7" x14ac:dyDescent="0.85">
      <c r="B18" s="96"/>
    </row>
    <row r="19" spans="1:7" x14ac:dyDescent="0.85">
      <c r="A19" s="95" t="s">
        <v>468</v>
      </c>
    </row>
    <row r="20" spans="1:7" x14ac:dyDescent="0.85">
      <c r="A20" s="97" t="s">
        <v>465</v>
      </c>
      <c r="B20" s="96">
        <v>1.5</v>
      </c>
      <c r="C20" s="95" t="s">
        <v>245</v>
      </c>
    </row>
    <row r="21" spans="1:7" x14ac:dyDescent="0.85">
      <c r="A21" s="97" t="s">
        <v>466</v>
      </c>
      <c r="B21" s="96">
        <f>(D21/100)*F21</f>
        <v>0.73250000000000004</v>
      </c>
      <c r="C21" s="95" t="s">
        <v>247</v>
      </c>
      <c r="D21" s="95">
        <v>25</v>
      </c>
      <c r="E21" s="95" t="s">
        <v>20</v>
      </c>
      <c r="F21" s="96">
        <v>2.93</v>
      </c>
      <c r="G21" s="95" t="s">
        <v>264</v>
      </c>
    </row>
    <row r="22" spans="1:7" x14ac:dyDescent="0.85">
      <c r="A22" s="97" t="s">
        <v>266</v>
      </c>
      <c r="B22" s="96">
        <f>B21</f>
        <v>0.73250000000000004</v>
      </c>
      <c r="C22" s="95" t="s">
        <v>247</v>
      </c>
    </row>
    <row r="23" spans="1:7" x14ac:dyDescent="0.85">
      <c r="A23" s="97" t="s">
        <v>467</v>
      </c>
      <c r="B23" s="96">
        <f>0.1*SUM(B20:B22)</f>
        <v>0.29649999999999999</v>
      </c>
      <c r="C23" s="95" t="s">
        <v>247</v>
      </c>
    </row>
    <row r="24" spans="1:7" x14ac:dyDescent="0.85">
      <c r="A24" s="97" t="s">
        <v>269</v>
      </c>
      <c r="B24" s="96">
        <f>SUM(B20:B23)</f>
        <v>3.2614999999999998</v>
      </c>
      <c r="C24" s="95" t="s">
        <v>247</v>
      </c>
    </row>
    <row r="25" spans="1:7" x14ac:dyDescent="0.85">
      <c r="A25" s="97"/>
      <c r="B25" s="96"/>
    </row>
    <row r="26" spans="1:7" x14ac:dyDescent="0.85">
      <c r="A26" s="97"/>
      <c r="B26" s="96"/>
    </row>
    <row r="27" spans="1:7" x14ac:dyDescent="0.85">
      <c r="A27" s="97"/>
      <c r="B27" s="96"/>
    </row>
    <row r="28" spans="1:7" x14ac:dyDescent="0.85">
      <c r="A28" s="97"/>
      <c r="B28" s="96"/>
    </row>
    <row r="29" spans="1:7" x14ac:dyDescent="0.85">
      <c r="A29" s="97"/>
      <c r="B29" s="96"/>
    </row>
    <row r="30" spans="1:7" x14ac:dyDescent="0.85">
      <c r="A30" s="97"/>
      <c r="B30" s="96"/>
    </row>
    <row r="31" spans="1:7" x14ac:dyDescent="0.85">
      <c r="A31" s="97"/>
      <c r="B31" s="96"/>
    </row>
    <row r="32" spans="1:7" x14ac:dyDescent="0.85">
      <c r="A32" s="97"/>
      <c r="B32" s="96"/>
    </row>
    <row r="33" spans="1:2" x14ac:dyDescent="0.85">
      <c r="A33" s="97"/>
      <c r="B33" s="96"/>
    </row>
    <row r="34" spans="1:2" x14ac:dyDescent="0.85">
      <c r="A34" s="97"/>
      <c r="B34" s="96"/>
    </row>
    <row r="49" spans="1:7" x14ac:dyDescent="0.85">
      <c r="A49" s="95" t="s">
        <v>464</v>
      </c>
    </row>
    <row r="50" spans="1:7" x14ac:dyDescent="0.85">
      <c r="A50" s="97" t="s">
        <v>465</v>
      </c>
      <c r="B50" s="96">
        <v>6.5</v>
      </c>
      <c r="C50" s="95" t="s">
        <v>245</v>
      </c>
    </row>
    <row r="51" spans="1:7" x14ac:dyDescent="0.85">
      <c r="A51" s="97" t="s">
        <v>466</v>
      </c>
      <c r="B51" s="96">
        <f>(D51/100)*F51</f>
        <v>0.73250000000000004</v>
      </c>
      <c r="C51" s="95" t="s">
        <v>247</v>
      </c>
      <c r="D51" s="95">
        <v>25</v>
      </c>
      <c r="E51" s="95" t="s">
        <v>20</v>
      </c>
      <c r="F51" s="96">
        <v>2.93</v>
      </c>
      <c r="G51" s="95" t="s">
        <v>264</v>
      </c>
    </row>
    <row r="52" spans="1:7" x14ac:dyDescent="0.85">
      <c r="A52" s="97" t="s">
        <v>266</v>
      </c>
      <c r="B52" s="96">
        <f>B51</f>
        <v>0.73250000000000004</v>
      </c>
      <c r="C52" s="95" t="s">
        <v>247</v>
      </c>
    </row>
    <row r="53" spans="1:7" x14ac:dyDescent="0.85">
      <c r="A53" s="97" t="s">
        <v>467</v>
      </c>
      <c r="B53" s="96">
        <f>0.1*SUM(B50:B52)</f>
        <v>0.79649999999999999</v>
      </c>
      <c r="C53" s="95" t="s">
        <v>247</v>
      </c>
    </row>
    <row r="54" spans="1:7" x14ac:dyDescent="0.85">
      <c r="A54" s="97" t="s">
        <v>269</v>
      </c>
      <c r="B54" s="96">
        <f>SUM(B50:B53)</f>
        <v>8.7614999999999998</v>
      </c>
      <c r="C54" s="95" t="s">
        <v>247</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Q36:R41"/>
  <sheetViews>
    <sheetView workbookViewId="0"/>
  </sheetViews>
  <sheetFormatPr defaultRowHeight="18.3" x14ac:dyDescent="0.85"/>
  <sheetData>
    <row r="36" spans="17:18" x14ac:dyDescent="0.85">
      <c r="Q36" t="s">
        <v>283</v>
      </c>
    </row>
    <row r="37" spans="17:18" x14ac:dyDescent="0.85">
      <c r="Q37" s="89" t="s">
        <v>278</v>
      </c>
      <c r="R37" s="101">
        <v>42788</v>
      </c>
    </row>
    <row r="38" spans="17:18" x14ac:dyDescent="0.85">
      <c r="Q38" s="89" t="s">
        <v>279</v>
      </c>
      <c r="R38" s="101">
        <f>R37/60</f>
        <v>713.13333333333333</v>
      </c>
    </row>
    <row r="39" spans="17:18" x14ac:dyDescent="0.85">
      <c r="Q39" s="89" t="s">
        <v>280</v>
      </c>
      <c r="R39" s="102">
        <v>62.4</v>
      </c>
    </row>
    <row r="40" spans="17:18" x14ac:dyDescent="0.85">
      <c r="Q40" s="89" t="s">
        <v>281</v>
      </c>
      <c r="R40" s="102">
        <v>7.48</v>
      </c>
    </row>
    <row r="41" spans="17:18" x14ac:dyDescent="0.85">
      <c r="Q41" s="89" t="s">
        <v>282</v>
      </c>
      <c r="R41" s="102">
        <f>(R38/R39)*R40</f>
        <v>85.484572649572655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1441-8B57-4B83-BDEF-69BB933D9A6D}">
  <dimension ref="A1:C16"/>
  <sheetViews>
    <sheetView workbookViewId="0"/>
  </sheetViews>
  <sheetFormatPr defaultRowHeight="18.3" x14ac:dyDescent="0.85"/>
  <cols>
    <col min="1" max="1" width="24.33203125" style="97" bestFit="1" customWidth="1"/>
    <col min="2" max="2" width="8.0390625" style="95" bestFit="1" customWidth="1"/>
    <col min="3" max="3" width="31.125" style="95" bestFit="1" customWidth="1"/>
    <col min="4" max="16384" width="8.6640625" style="95"/>
  </cols>
  <sheetData>
    <row r="1" spans="1:3" x14ac:dyDescent="0.85">
      <c r="A1" s="97" t="s">
        <v>439</v>
      </c>
      <c r="B1" s="28">
        <v>1021523.9525691699</v>
      </c>
      <c r="C1" s="95" t="s">
        <v>59</v>
      </c>
    </row>
    <row r="2" spans="1:3" x14ac:dyDescent="0.85">
      <c r="A2" s="97" t="s">
        <v>442</v>
      </c>
      <c r="B2" s="28">
        <f>B1/2</f>
        <v>510761.97628458496</v>
      </c>
      <c r="C2" s="95" t="s">
        <v>59</v>
      </c>
    </row>
    <row r="3" spans="1:3" x14ac:dyDescent="0.85">
      <c r="A3" s="97" t="s">
        <v>440</v>
      </c>
      <c r="B3" s="31">
        <v>87.4</v>
      </c>
      <c r="C3" s="95" t="s">
        <v>190</v>
      </c>
    </row>
    <row r="4" spans="1:3" x14ac:dyDescent="0.85">
      <c r="A4" s="97" t="s">
        <v>441</v>
      </c>
      <c r="B4" s="96">
        <f>B3/2</f>
        <v>43.7</v>
      </c>
      <c r="C4" s="95" t="s">
        <v>190</v>
      </c>
    </row>
    <row r="5" spans="1:3" x14ac:dyDescent="0.85">
      <c r="A5" s="97" t="s">
        <v>443</v>
      </c>
      <c r="B5" s="95">
        <v>715</v>
      </c>
    </row>
    <row r="6" spans="1:3" x14ac:dyDescent="0.85">
      <c r="A6" s="97" t="s">
        <v>444</v>
      </c>
      <c r="B6" s="95">
        <v>715000</v>
      </c>
      <c r="C6" s="95" t="s">
        <v>59</v>
      </c>
    </row>
    <row r="7" spans="1:3" x14ac:dyDescent="0.85">
      <c r="A7" s="97" t="s">
        <v>445</v>
      </c>
      <c r="B7" s="95">
        <v>586000</v>
      </c>
      <c r="C7" s="95" t="s">
        <v>59</v>
      </c>
    </row>
    <row r="8" spans="1:3" x14ac:dyDescent="0.85">
      <c r="A8" s="97" t="s">
        <v>275</v>
      </c>
      <c r="B8" s="124">
        <f>B7/B6</f>
        <v>0.81958041958041961</v>
      </c>
    </row>
    <row r="9" spans="1:3" x14ac:dyDescent="0.85">
      <c r="A9" s="97" t="s">
        <v>219</v>
      </c>
      <c r="B9" s="96">
        <f>B4</f>
        <v>43.7</v>
      </c>
      <c r="C9" s="95" t="s">
        <v>190</v>
      </c>
    </row>
    <row r="10" spans="1:3" x14ac:dyDescent="0.85">
      <c r="A10" s="97" t="s">
        <v>455</v>
      </c>
      <c r="B10" s="96">
        <f>2.5*((B9/56)^2)</f>
        <v>1.5223931760204081</v>
      </c>
      <c r="C10" s="95" t="s">
        <v>247</v>
      </c>
    </row>
    <row r="11" spans="1:3" x14ac:dyDescent="0.85">
      <c r="A11" s="97" t="s">
        <v>446</v>
      </c>
      <c r="B11" s="95">
        <v>170</v>
      </c>
      <c r="C11" s="95" t="s">
        <v>36</v>
      </c>
    </row>
    <row r="12" spans="1:3" x14ac:dyDescent="0.85">
      <c r="A12" s="97" t="s">
        <v>312</v>
      </c>
      <c r="B12" s="95">
        <f>(B11-B7/(500*B9))</f>
        <v>143.18077803203661</v>
      </c>
      <c r="C12" s="95" t="s">
        <v>36</v>
      </c>
    </row>
    <row r="13" spans="1:3" x14ac:dyDescent="0.85">
      <c r="A13" s="97" t="s">
        <v>447</v>
      </c>
      <c r="B13" s="95">
        <f>B11-B12</f>
        <v>26.819221967963387</v>
      </c>
      <c r="C13" s="95" t="s">
        <v>448</v>
      </c>
    </row>
    <row r="14" spans="1:3" x14ac:dyDescent="0.85">
      <c r="A14" s="97" t="s">
        <v>449</v>
      </c>
      <c r="B14" s="125">
        <v>0.33</v>
      </c>
      <c r="C14" s="95" t="s">
        <v>450</v>
      </c>
    </row>
    <row r="15" spans="1:3" x14ac:dyDescent="0.85">
      <c r="A15" s="97" t="s">
        <v>451</v>
      </c>
      <c r="B15" s="95">
        <v>1</v>
      </c>
    </row>
    <row r="16" spans="1:3" x14ac:dyDescent="0.85">
      <c r="A16" s="97" t="s">
        <v>453</v>
      </c>
      <c r="B16" s="95">
        <v>120</v>
      </c>
      <c r="C16" s="95" t="s">
        <v>452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2</vt:i4>
      </vt:variant>
      <vt:variant>
        <vt:lpstr>Named Ranges</vt:lpstr>
      </vt:variant>
      <vt:variant>
        <vt:i4>2</vt:i4>
      </vt:variant>
    </vt:vector>
  </HeadingPairs>
  <TitlesOfParts>
    <vt:vector size="18" baseType="lpstr">
      <vt:lpstr>Design Data</vt:lpstr>
      <vt:lpstr>Mixed Air Temp Calcs</vt:lpstr>
      <vt:lpstr>First Floor FTR</vt:lpstr>
      <vt:lpstr>Second Floor FTR</vt:lpstr>
      <vt:lpstr>Warm-up Coil</vt:lpstr>
      <vt:lpstr>Typical Reheat Coil</vt:lpstr>
      <vt:lpstr>Pumps</vt:lpstr>
      <vt:lpstr>Heat Exchanger</vt:lpstr>
      <vt:lpstr>Non-condensing Boiler</vt:lpstr>
      <vt:lpstr>Condensing Boiler</vt:lpstr>
      <vt:lpstr>General Arrangement</vt:lpstr>
      <vt:lpstr>FTR Zones</vt:lpstr>
      <vt:lpstr>FTR and VAV Zones</vt:lpstr>
      <vt:lpstr>Pipe Insulation Losses</vt:lpstr>
      <vt:lpstr>Heat Loss vs. Thickness</vt:lpstr>
      <vt:lpstr>Heat Loss vs. Thickness 90 170</vt:lpstr>
      <vt:lpstr>'Mixed Air Temp Calcs'!Print_Titles</vt:lpstr>
      <vt:lpstr>Print_Titles</vt:lpstr>
    </vt:vector>
  </TitlesOfParts>
  <Company>Dell - Personal Systems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2016-12-02T01:10:58Z</cp:lastPrinted>
  <dcterms:created xsi:type="dcterms:W3CDTF">2002-10-15T18:30:13Z</dcterms:created>
  <dcterms:modified xsi:type="dcterms:W3CDTF">2019-02-13T22:01:58Z</dcterms:modified>
</cp:coreProperties>
</file>