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heckCompatibility="1"/>
  <mc:AlternateContent xmlns:mc="http://schemas.openxmlformats.org/markup-compatibility/2006">
    <mc:Choice Requires="x15">
      <x15ac:absPath xmlns:x15ac="http://schemas.microsoft.com/office/spreadsheetml/2010/11/ac" url="D:\FDE Tools\Damper Pressure Drop\"/>
    </mc:Choice>
  </mc:AlternateContent>
  <xr:revisionPtr revIDLastSave="0" documentId="13_ncr:1_{9CB29E4E-29DB-4AD1-A885-02F609745132}" xr6:coauthVersionLast="47" xr6:coauthVersionMax="47" xr10:uidLastSave="{00000000-0000-0000-0000-000000000000}"/>
  <bookViews>
    <workbookView xWindow="28692" yWindow="-108" windowWidth="29016" windowHeight="15816" activeTab="2" xr2:uid="{00000000-000D-0000-FFFF-FFFF00000000}"/>
  </bookViews>
  <sheets>
    <sheet name="Damper Comparison" sheetId="2" r:id="rId1"/>
    <sheet name="Damper Comparison Curve Fit" sheetId="6" r:id="rId2"/>
    <sheet name="Cost Benefit" sheetId="5" r:id="rId3"/>
    <sheet name="Different inlet and outlet" sheetId="4" r:id="rId4"/>
    <sheet name="Data" sheetId="1" r:id="rId5"/>
  </sheets>
  <definedNames>
    <definedName name="_xlnm.Print_Area">Data!#REF!</definedName>
    <definedName name="_xlnm.Print_Titles">Data!$1:$17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5" l="1"/>
  <c r="M44" i="5"/>
  <c r="L44" i="5"/>
  <c r="L48" i="5" s="1"/>
  <c r="L50" i="5" s="1"/>
  <c r="N6" i="5"/>
  <c r="M6" i="5"/>
  <c r="L6" i="5"/>
  <c r="N25" i="5"/>
  <c r="M25" i="5"/>
  <c r="L25" i="5"/>
  <c r="L29" i="5" s="1"/>
  <c r="L31" i="5" s="1"/>
  <c r="L54" i="5"/>
  <c r="N48" i="5"/>
  <c r="N50" i="5" s="1"/>
  <c r="N42" i="5"/>
  <c r="N54" i="5" s="1"/>
  <c r="N55" i="5" s="1"/>
  <c r="M42" i="5"/>
  <c r="L42" i="5"/>
  <c r="N41" i="5"/>
  <c r="M41" i="5"/>
  <c r="M48" i="5" s="1"/>
  <c r="M50" i="5" s="1"/>
  <c r="F41" i="5"/>
  <c r="E41" i="5"/>
  <c r="N23" i="5"/>
  <c r="N35" i="5" s="1"/>
  <c r="L23" i="5"/>
  <c r="L35" i="5" s="1"/>
  <c r="N22" i="5"/>
  <c r="M22" i="5"/>
  <c r="M23" i="5" s="1"/>
  <c r="N10" i="5"/>
  <c r="N12" i="5" s="1"/>
  <c r="L10" i="5"/>
  <c r="L12" i="5" s="1"/>
  <c r="L4" i="5"/>
  <c r="L5" i="5" s="1"/>
  <c r="N3" i="5"/>
  <c r="M3" i="5"/>
  <c r="M10" i="5" s="1"/>
  <c r="M12" i="5" s="1"/>
  <c r="J41" i="1"/>
  <c r="I41" i="1"/>
  <c r="J40" i="1"/>
  <c r="I40" i="1"/>
  <c r="J39" i="1"/>
  <c r="I39" i="1"/>
  <c r="J38" i="1"/>
  <c r="I38" i="1"/>
  <c r="J37" i="1"/>
  <c r="I37" i="1"/>
  <c r="J36" i="1"/>
  <c r="I36" i="1"/>
  <c r="I42" i="1"/>
  <c r="J42" i="1"/>
  <c r="K41" i="1"/>
  <c r="K40" i="1"/>
  <c r="K39" i="1"/>
  <c r="K38" i="1"/>
  <c r="K37" i="1"/>
  <c r="K36" i="1"/>
  <c r="K4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N29" i="1"/>
  <c r="M29" i="1"/>
  <c r="N28" i="1"/>
  <c r="M28" i="1"/>
  <c r="N27" i="1"/>
  <c r="M27" i="1"/>
  <c r="N26" i="1"/>
  <c r="M26" i="1"/>
  <c r="N25" i="1"/>
  <c r="M25" i="1"/>
  <c r="N24" i="1"/>
  <c r="M24" i="1"/>
  <c r="N30" i="1"/>
  <c r="M30" i="1"/>
  <c r="L29" i="1"/>
  <c r="L28" i="1"/>
  <c r="L27" i="1"/>
  <c r="L26" i="1"/>
  <c r="L25" i="1"/>
  <c r="L24" i="1"/>
  <c r="L30" i="1"/>
  <c r="A11" i="1"/>
  <c r="A12" i="1"/>
  <c r="A13" i="1" s="1"/>
  <c r="M51" i="5" l="1"/>
  <c r="M53" i="5" s="1"/>
  <c r="M13" i="5"/>
  <c r="M15" i="5" s="1"/>
  <c r="N29" i="5"/>
  <c r="N31" i="5" s="1"/>
  <c r="N32" i="5" s="1"/>
  <c r="N34" i="5" s="1"/>
  <c r="N51" i="5"/>
  <c r="N53" i="5" s="1"/>
  <c r="N56" i="5" s="1"/>
  <c r="N13" i="5"/>
  <c r="N15" i="5" s="1"/>
  <c r="N36" i="5"/>
  <c r="L16" i="5"/>
  <c r="M4" i="5"/>
  <c r="M5" i="5" s="1"/>
  <c r="N4" i="5"/>
  <c r="M29" i="5"/>
  <c r="M31" i="5" s="1"/>
  <c r="M32" i="5" s="1"/>
  <c r="M34" i="5" s="1"/>
  <c r="N16" i="5" l="1"/>
  <c r="N17" i="5" s="1"/>
  <c r="N18" i="5" s="1"/>
  <c r="N5" i="5"/>
  <c r="N37" i="5"/>
</calcChain>
</file>

<file path=xl/sharedStrings.xml><?xml version="1.0" encoding="utf-8"?>
<sst xmlns="http://schemas.openxmlformats.org/spreadsheetml/2006/main" count="121" uniqueCount="56">
  <si>
    <t>Engineering Calculation</t>
  </si>
  <si>
    <t xml:space="preserve">Project Name: </t>
  </si>
  <si>
    <t xml:space="preserve">Project Number: </t>
  </si>
  <si>
    <t xml:space="preserve">Engineer: </t>
  </si>
  <si>
    <t>Assumptions</t>
  </si>
  <si>
    <t>Date:</t>
  </si>
  <si>
    <t>????</t>
  </si>
  <si>
    <t>Facility Dynamics Headquarters  - 6760 Alexander Bell Drive,  Suite 200,  Columbia, MD 21046, Phone: (410) 290-0900;  www.facilitydynamics.com</t>
  </si>
  <si>
    <t>Facility Dynamics Satellite Location  - 8560 North Buchanan Avenue,  Portland, Oregon 97203, Phone: ;  www.facilitydynamics.com</t>
  </si>
  <si>
    <t>None</t>
  </si>
  <si>
    <t>David</t>
  </si>
  <si>
    <t>Static Loss</t>
  </si>
  <si>
    <t>Velocity, fpm</t>
  </si>
  <si>
    <t>Based on Gfeenheck Catalog Data</t>
  </si>
  <si>
    <t>SMD-301 (fabricated airfoil)</t>
  </si>
  <si>
    <t>SMD-203 (V groove blade)</t>
  </si>
  <si>
    <t>SMD-401 (extruded aluminum airfoil)</t>
  </si>
  <si>
    <t>Static Loss - Square Law Basis</t>
  </si>
  <si>
    <t>% Improvement Relative to SMD-203</t>
  </si>
  <si>
    <t>Baseline</t>
  </si>
  <si>
    <t>SMD-401 at full duct size</t>
  </si>
  <si>
    <t>SMD-401 with open discharge</t>
  </si>
  <si>
    <t>SMD-401 with a plenum in and out</t>
  </si>
  <si>
    <t>For Hijend Hotel Ball Room Branch Duct to Reheat Coils</t>
  </si>
  <si>
    <t>V Groove</t>
  </si>
  <si>
    <t>Fabricated Airfoil</t>
  </si>
  <si>
    <t>Extruded Airfoil</t>
  </si>
  <si>
    <t xml:space="preserve">Flow - </t>
  </si>
  <si>
    <t>cfm</t>
  </si>
  <si>
    <t>Flow = Velocity x Area</t>
  </si>
  <si>
    <t xml:space="preserve">Duct Area - </t>
  </si>
  <si>
    <t>sq.ft.</t>
  </si>
  <si>
    <t xml:space="preserve">Velocity - </t>
  </si>
  <si>
    <t>fpm</t>
  </si>
  <si>
    <t xml:space="preserve">Static - </t>
  </si>
  <si>
    <t>in.w.c.</t>
  </si>
  <si>
    <t xml:space="preserve">Motor efficiency - </t>
  </si>
  <si>
    <t xml:space="preserve">Belt efficiency - </t>
  </si>
  <si>
    <t xml:space="preserve">VSD efficiency - </t>
  </si>
  <si>
    <t xml:space="preserve">kW - </t>
  </si>
  <si>
    <t xml:space="preserve">Operating Hours - </t>
  </si>
  <si>
    <t xml:space="preserve">kWh - </t>
  </si>
  <si>
    <t xml:space="preserve">Savings - </t>
  </si>
  <si>
    <t>Base Case</t>
  </si>
  <si>
    <t xml:space="preserve">Cost of electricity - </t>
  </si>
  <si>
    <t xml:space="preserve">Damper cost - </t>
  </si>
  <si>
    <t xml:space="preserve">Difference - </t>
  </si>
  <si>
    <t xml:space="preserve">Simple payback - </t>
  </si>
  <si>
    <t>years</t>
  </si>
  <si>
    <t>At a Higher Velocity</t>
  </si>
  <si>
    <t xml:space="preserve">Damper cost based on 24 x 24 damper - </t>
  </si>
  <si>
    <t>$/sq.ft.</t>
  </si>
  <si>
    <t xml:space="preserve">Data Source - </t>
  </si>
  <si>
    <t>..\..\..\..\..\Technical Library\Costs\Airfoil Blade vs. Conventional Blade.txt</t>
  </si>
  <si>
    <t>24/7 Operation</t>
  </si>
  <si>
    <t>https://www.bls.gov/data/inflation_calculator.htm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</si>
</sst>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\ "/>
    <numFmt numFmtId="165" formatCode="#,##0.0000"/>
    <numFmt numFmtId="166" formatCode="dddd\ mmmm\ dd\,\ yyyy"/>
    <numFmt numFmtId="167" formatCode="0.0%"/>
    <numFmt numFmtId="168" formatCode="&quot;$&quot;#,##0.00"/>
    <numFmt numFmtId="169" formatCode="&quot;$&quot;#,##0"/>
  </numFmts>
  <fonts count="9" x14ac:knownFonts="1">
    <font>
      <sz val="12"/>
      <name val="Comic Sans MS"/>
      <family val="4"/>
    </font>
    <font>
      <sz val="11"/>
      <color theme="1"/>
      <name val="Comic Sans MS"/>
      <family val="2"/>
    </font>
    <font>
      <sz val="12"/>
      <name val="Comic Sans MS"/>
      <family val="4"/>
    </font>
    <font>
      <sz val="12"/>
      <color indexed="8"/>
      <name val="Comic Sans MS"/>
      <family val="4"/>
    </font>
    <font>
      <i/>
      <sz val="12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i/>
      <sz val="12"/>
      <name val="Comic Sans MS"/>
      <family val="4"/>
    </font>
    <font>
      <u/>
      <sz val="11"/>
      <color theme="10"/>
      <name val="Comic Sans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top"/>
    </xf>
    <xf numFmtId="0" fontId="2" fillId="0" borderId="0">
      <alignment vertical="top"/>
    </xf>
    <xf numFmtId="0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>
      <alignment vertical="top"/>
    </xf>
    <xf numFmtId="0" fontId="2" fillId="0" borderId="0" xfId="1">
      <alignment vertical="top"/>
    </xf>
    <xf numFmtId="3" fontId="2" fillId="0" borderId="0" xfId="1" applyNumberFormat="1">
      <alignment vertical="top"/>
    </xf>
    <xf numFmtId="0" fontId="3" fillId="0" borderId="0" xfId="1" applyFont="1">
      <alignment vertical="top"/>
    </xf>
    <xf numFmtId="0" fontId="4" fillId="0" borderId="0" xfId="1" applyFont="1" applyAlignment="1">
      <alignment horizontal="left" vertical="top"/>
    </xf>
    <xf numFmtId="3" fontId="4" fillId="0" borderId="0" xfId="1" applyNumberFormat="1" applyFont="1">
      <alignment vertical="top"/>
    </xf>
    <xf numFmtId="0" fontId="5" fillId="0" borderId="0" xfId="1" applyFont="1" applyAlignment="1">
      <alignment horizontal="left" vertical="top"/>
    </xf>
    <xf numFmtId="0" fontId="6" fillId="0" borderId="0" xfId="0" applyFont="1" applyAlignment="1"/>
    <xf numFmtId="4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>
      <alignment vertical="top"/>
    </xf>
    <xf numFmtId="0" fontId="7" fillId="0" borderId="0" xfId="1" applyFont="1">
      <alignment vertical="top"/>
    </xf>
    <xf numFmtId="0" fontId="2" fillId="0" borderId="0" xfId="1" applyAlignment="1">
      <alignment horizontal="right" vertical="top"/>
    </xf>
    <xf numFmtId="3" fontId="2" fillId="0" borderId="0" xfId="1" quotePrefix="1" applyNumberFormat="1">
      <alignment vertical="top"/>
    </xf>
    <xf numFmtId="4" fontId="2" fillId="0" borderId="0" xfId="1" applyNumberFormat="1">
      <alignment vertical="top"/>
    </xf>
    <xf numFmtId="0" fontId="7" fillId="0" borderId="0" xfId="1" applyFont="1" applyAlignment="1">
      <alignment horizontal="left" vertical="top"/>
    </xf>
    <xf numFmtId="0" fontId="2" fillId="0" borderId="0" xfId="1" applyAlignment="1">
      <alignment horizontal="left" vertical="top" wrapText="1"/>
    </xf>
    <xf numFmtId="3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3" fontId="2" fillId="0" borderId="0" xfId="1" quotePrefix="1" applyNumberFormat="1" applyAlignment="1">
      <alignment horizontal="left" vertical="top"/>
    </xf>
    <xf numFmtId="16" fontId="6" fillId="0" borderId="0" xfId="0" applyNumberFormat="1" applyFont="1" applyAlignment="1">
      <alignment horizontal="center" vertical="top"/>
    </xf>
    <xf numFmtId="3" fontId="6" fillId="0" borderId="0" xfId="1" applyNumberFormat="1" applyFont="1">
      <alignment vertical="top"/>
    </xf>
    <xf numFmtId="0" fontId="6" fillId="0" borderId="0" xfId="0" applyFon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4" fontId="0" fillId="0" borderId="0" xfId="1" applyNumberFormat="1" applyFont="1" applyAlignment="1">
      <alignment horizontal="center" vertical="top"/>
    </xf>
    <xf numFmtId="4" fontId="2" fillId="0" borderId="0" xfId="1" applyNumberFormat="1" applyAlignment="1">
      <alignment horizontal="center" vertical="top"/>
    </xf>
    <xf numFmtId="3" fontId="2" fillId="0" borderId="0" xfId="1" applyNumberFormat="1" applyAlignment="1">
      <alignment horizontal="center" vertical="top"/>
    </xf>
    <xf numFmtId="4" fontId="2" fillId="2" borderId="0" xfId="1" applyNumberFormat="1" applyFill="1" applyAlignment="1">
      <alignment horizontal="center" vertical="top"/>
    </xf>
    <xf numFmtId="4" fontId="0" fillId="0" borderId="0" xfId="1" applyNumberFormat="1" applyFont="1" applyAlignment="1">
      <alignment horizontal="center" vertical="top" wrapText="1"/>
    </xf>
    <xf numFmtId="4" fontId="0" fillId="2" borderId="0" xfId="1" applyNumberFormat="1" applyFont="1" applyFill="1" applyAlignment="1">
      <alignment horizontal="center" vertical="top"/>
    </xf>
    <xf numFmtId="9" fontId="0" fillId="0" borderId="0" xfId="1" applyNumberFormat="1" applyFont="1" applyAlignment="1">
      <alignment horizontal="center" vertical="top"/>
    </xf>
    <xf numFmtId="0" fontId="0" fillId="0" borderId="0" xfId="1" applyFont="1" applyAlignment="1">
      <alignment horizontal="center" vertical="top"/>
    </xf>
    <xf numFmtId="9" fontId="0" fillId="0" borderId="0" xfId="1" applyNumberFormat="1" applyFont="1" applyAlignment="1">
      <alignment horizontal="center" vertical="center"/>
    </xf>
    <xf numFmtId="9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top"/>
    </xf>
    <xf numFmtId="3" fontId="1" fillId="0" borderId="0" xfId="2" applyNumberFormat="1" applyAlignment="1">
      <alignment vertical="top"/>
    </xf>
    <xf numFmtId="3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center" vertical="top"/>
    </xf>
    <xf numFmtId="3" fontId="1" fillId="0" borderId="0" xfId="2" applyNumberFormat="1" applyAlignment="1">
      <alignment horizontal="center" vertical="top" wrapText="1"/>
    </xf>
    <xf numFmtId="3" fontId="1" fillId="0" borderId="0" xfId="2" applyNumberFormat="1" applyAlignment="1">
      <alignment horizontal="left" vertical="top"/>
    </xf>
    <xf numFmtId="4" fontId="1" fillId="0" borderId="0" xfId="2" applyNumberFormat="1" applyAlignment="1">
      <alignment horizontal="center" vertical="top"/>
    </xf>
    <xf numFmtId="167" fontId="1" fillId="0" borderId="0" xfId="2" applyNumberFormat="1" applyAlignment="1">
      <alignment horizontal="center" vertical="top"/>
    </xf>
    <xf numFmtId="168" fontId="1" fillId="0" borderId="0" xfId="2" applyNumberFormat="1" applyAlignment="1">
      <alignment horizontal="center" vertical="top"/>
    </xf>
    <xf numFmtId="169" fontId="1" fillId="0" borderId="0" xfId="2" applyNumberFormat="1" applyAlignment="1">
      <alignment horizontal="center" vertical="top"/>
    </xf>
    <xf numFmtId="3" fontId="8" fillId="0" borderId="0" xfId="3" applyNumberFormat="1" applyAlignment="1">
      <alignment vertical="top"/>
    </xf>
  </cellXfs>
  <cellStyles count="4">
    <cellStyle name="Hyperlink 2" xfId="3" xr:uid="{C62A4ADF-069F-4D09-9808-A688B50517AA}"/>
    <cellStyle name="Normal" xfId="0" builtinId="0"/>
    <cellStyle name="Normal 2" xfId="2" xr:uid="{F10AF5E4-867B-48DD-9C5C-A4C963EA4CC1}"/>
    <cellStyle name="Normal_Blank Engineering Calculation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5C852B"/>
      <rgbColor rgb="0099CCFF"/>
      <rgbColor rgb="00FEBB36"/>
      <rgbColor rgb="00CC99FF"/>
      <rgbColor rgb="009A3E00"/>
      <rgbColor rgb="003366FF"/>
      <rgbColor rgb="0033CCCC"/>
      <rgbColor rgb="0099CC00"/>
      <rgbColor rgb="00FFCC00"/>
      <rgbColor rgb="00FF9900"/>
      <rgbColor rgb="00FF6600"/>
      <rgbColor rgb="00CC9900"/>
      <rgbColor rgb="00999999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  <mruColors>
      <color rgb="FF9933FF"/>
      <color rgb="FFFF6600"/>
      <color rgb="FF000099"/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78002055779"/>
          <c:y val="2.4020608252358609E-2"/>
          <c:w val="0.52971975707112373"/>
          <c:h val="0.86972917424451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Data!$I$22:$I$23</c:f>
              <c:strCache>
                <c:ptCount val="2"/>
                <c:pt idx="0">
                  <c:v>Static Loss</c:v>
                </c:pt>
                <c:pt idx="1">
                  <c:v>SMD-203 (V groove blade)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pPr>
              <a:solidFill>
                <a:srgbClr val="3333FF"/>
              </a:solidFill>
              <a:ln>
                <a:solidFill>
                  <a:srgbClr val="3333FF"/>
                </a:solidFill>
              </a:ln>
            </c:spPr>
          </c:marker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Data!$I$24:$I$31</c:f>
              <c:numCache>
                <c:formatCode>#,##0.00</c:formatCode>
                <c:ptCount val="8"/>
                <c:pt idx="0">
                  <c:v>0.02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0.28999999999999998</c:v>
                </c:pt>
                <c:pt idx="4">
                  <c:v>0.45</c:v>
                </c:pt>
                <c:pt idx="5">
                  <c:v>0.65</c:v>
                </c:pt>
                <c:pt idx="6">
                  <c:v>0.89</c:v>
                </c:pt>
                <c:pt idx="7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A1-417D-8C7D-F8A79E09DA87}"/>
            </c:ext>
          </c:extLst>
        </c:ser>
        <c:ser>
          <c:idx val="1"/>
          <c:order val="1"/>
          <c:tx>
            <c:strRef>
              <c:f>Data!$J$22:$J$23</c:f>
              <c:strCache>
                <c:ptCount val="2"/>
                <c:pt idx="0">
                  <c:v>Static Loss</c:v>
                </c:pt>
                <c:pt idx="1">
                  <c:v>SMD-301 (fabricated airfoil)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Data!$J$24:$J$31</c:f>
              <c:numCache>
                <c:formatCode>#,##0.00</c:formatCode>
                <c:ptCount val="8"/>
                <c:pt idx="0">
                  <c:v>0.01</c:v>
                </c:pt>
                <c:pt idx="1">
                  <c:v>0.06</c:v>
                </c:pt>
                <c:pt idx="2">
                  <c:v>0.12</c:v>
                </c:pt>
                <c:pt idx="3">
                  <c:v>0.22</c:v>
                </c:pt>
                <c:pt idx="4">
                  <c:v>0.34</c:v>
                </c:pt>
                <c:pt idx="5">
                  <c:v>0.49</c:v>
                </c:pt>
                <c:pt idx="6">
                  <c:v>0.67</c:v>
                </c:pt>
                <c:pt idx="7">
                  <c:v>0.87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A1-417D-8C7D-F8A79E09DA87}"/>
            </c:ext>
          </c:extLst>
        </c:ser>
        <c:ser>
          <c:idx val="2"/>
          <c:order val="2"/>
          <c:tx>
            <c:strRef>
              <c:f>Data!$K$22:$K$23</c:f>
              <c:strCache>
                <c:ptCount val="2"/>
                <c:pt idx="0">
                  <c:v>Static Loss</c:v>
                </c:pt>
                <c:pt idx="1">
                  <c:v>SMD-401 (extruded aluminum airfoil)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Data!$K$24:$K$31</c:f>
              <c:numCache>
                <c:formatCode>#,##0.00</c:formatCode>
                <c:ptCount val="8"/>
                <c:pt idx="0">
                  <c:v>6.875E-3</c:v>
                </c:pt>
                <c:pt idx="1">
                  <c:v>2.75E-2</c:v>
                </c:pt>
                <c:pt idx="2">
                  <c:v>6.1874999999999999E-2</c:v>
                </c:pt>
                <c:pt idx="3">
                  <c:v>0.11</c:v>
                </c:pt>
                <c:pt idx="4">
                  <c:v>0.171875</c:v>
                </c:pt>
                <c:pt idx="5">
                  <c:v>0.2475</c:v>
                </c:pt>
                <c:pt idx="6">
                  <c:v>0.33687499999999998</c:v>
                </c:pt>
                <c:pt idx="7">
                  <c:v>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A1-417D-8C7D-F8A79E09D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2736"/>
        <c:axId val="52054272"/>
      </c:scatterChart>
      <c:valAx>
        <c:axId val="52052736"/>
        <c:scaling>
          <c:orientation val="minMax"/>
          <c:max val="4500"/>
          <c:min val="0"/>
        </c:scaling>
        <c:delete val="0"/>
        <c:axPos val="b"/>
        <c:majorGridlines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Velocity, fpm</a:t>
                </a:r>
              </a:p>
            </c:rich>
          </c:tx>
          <c:overlay val="0"/>
        </c:title>
        <c:numFmt formatCode="#,##0" sourceLinked="1"/>
        <c:majorTickMark val="out"/>
        <c:minorTickMark val="out"/>
        <c:tickLblPos val="nextTo"/>
        <c:spPr>
          <a:ln w="2222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2054272"/>
        <c:crosses val="autoZero"/>
        <c:crossBetween val="midCat"/>
        <c:majorUnit val="500"/>
        <c:minorUnit val="250"/>
      </c:valAx>
      <c:valAx>
        <c:axId val="52054272"/>
        <c:scaling>
          <c:orientation val="minMax"/>
          <c:max val="1.2"/>
          <c:min val="0"/>
        </c:scaling>
        <c:delete val="0"/>
        <c:axPos val="l"/>
        <c:majorGridlines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Static Pressure Loss, in.w.c.</a:t>
                </a:r>
              </a:p>
            </c:rich>
          </c:tx>
          <c:layout>
            <c:manualLayout>
              <c:xMode val="edge"/>
              <c:yMode val="edge"/>
              <c:x val="2.3436620550040876E-2"/>
              <c:y val="0.27416247193514459"/>
            </c:manualLayout>
          </c:layout>
          <c:overlay val="0"/>
        </c:title>
        <c:numFmt formatCode="#,##0.00" sourceLinked="1"/>
        <c:majorTickMark val="out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2052736"/>
        <c:crosses val="autoZero"/>
        <c:crossBetween val="midCat"/>
        <c:majorUnit val="0.2"/>
        <c:minorUnit val="0.05"/>
      </c:valAx>
    </c:plotArea>
    <c:legend>
      <c:legendPos val="r"/>
      <c:layout>
        <c:manualLayout>
          <c:xMode val="edge"/>
          <c:yMode val="edge"/>
          <c:x val="0.69421795964841382"/>
          <c:y val="0.40146015906847798"/>
          <c:w val="0.29699330764532089"/>
          <c:h val="0.3080756388076744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78002055779"/>
          <c:y val="2.4020608252358609E-2"/>
          <c:w val="0.52971975707112373"/>
          <c:h val="0.86972917424451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Data!$I$22:$I$23</c:f>
              <c:strCache>
                <c:ptCount val="2"/>
                <c:pt idx="0">
                  <c:v>Static Loss</c:v>
                </c:pt>
                <c:pt idx="1">
                  <c:v>SMD-203 (V groove blade)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pPr>
              <a:solidFill>
                <a:srgbClr val="3333FF"/>
              </a:solidFill>
              <a:ln>
                <a:solidFill>
                  <a:srgbClr val="3333FF"/>
                </a:solidFill>
              </a:ln>
            </c:spPr>
          </c:marker>
          <c:trendline>
            <c:spPr>
              <a:ln w="19050">
                <a:solidFill>
                  <a:srgbClr val="9933FF"/>
                </a:solidFill>
                <a:prstDash val="dash"/>
              </a:ln>
            </c:spPr>
            <c:trendlineType val="power"/>
            <c:forward val="500"/>
            <c:dispRSqr val="1"/>
            <c:dispEq val="1"/>
            <c:trendlineLbl>
              <c:layout>
                <c:manualLayout>
                  <c:x val="-0.22342056436303201"/>
                  <c:y val="2.8577704694396616E-2"/>
                </c:manualLayout>
              </c:layout>
              <c:numFmt formatCode="#,##0.000000000000" sourceLinked="0"/>
              <c:txPr>
                <a:bodyPr/>
                <a:lstStyle/>
                <a:p>
                  <a:pPr>
                    <a:defRPr sz="1200">
                      <a:solidFill>
                        <a:srgbClr val="9933FF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Data!$I$24:$I$31</c:f>
              <c:numCache>
                <c:formatCode>#,##0.00</c:formatCode>
                <c:ptCount val="8"/>
                <c:pt idx="0">
                  <c:v>0.02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0.28999999999999998</c:v>
                </c:pt>
                <c:pt idx="4">
                  <c:v>0.45</c:v>
                </c:pt>
                <c:pt idx="5">
                  <c:v>0.65</c:v>
                </c:pt>
                <c:pt idx="6">
                  <c:v>0.89</c:v>
                </c:pt>
                <c:pt idx="7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5-4AF4-BB26-E8409CF7E571}"/>
            </c:ext>
          </c:extLst>
        </c:ser>
        <c:ser>
          <c:idx val="1"/>
          <c:order val="1"/>
          <c:tx>
            <c:strRef>
              <c:f>Data!$J$22:$J$23</c:f>
              <c:strCache>
                <c:ptCount val="2"/>
                <c:pt idx="0">
                  <c:v>Static Loss</c:v>
                </c:pt>
                <c:pt idx="1">
                  <c:v>SMD-301 (fabricated airfoil)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9050">
                <a:solidFill>
                  <a:schemeClr val="accent4"/>
                </a:solidFill>
                <a:prstDash val="dash"/>
              </a:ln>
            </c:spPr>
            <c:trendlineType val="power"/>
            <c:forward val="500"/>
            <c:dispRSqr val="1"/>
            <c:dispEq val="1"/>
            <c:trendlineLbl>
              <c:layout>
                <c:manualLayout>
                  <c:x val="-0.22488798496806683"/>
                  <c:y val="0.10342923217370015"/>
                </c:manualLayout>
              </c:layout>
              <c:numFmt formatCode="#,##0.000000000000" sourceLinked="0"/>
              <c:txPr>
                <a:bodyPr/>
                <a:lstStyle/>
                <a:p>
                  <a:pPr>
                    <a:defRPr sz="1200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Data!$J$24:$J$31</c:f>
              <c:numCache>
                <c:formatCode>#,##0.00</c:formatCode>
                <c:ptCount val="8"/>
                <c:pt idx="0">
                  <c:v>0.01</c:v>
                </c:pt>
                <c:pt idx="1">
                  <c:v>0.06</c:v>
                </c:pt>
                <c:pt idx="2">
                  <c:v>0.12</c:v>
                </c:pt>
                <c:pt idx="3">
                  <c:v>0.22</c:v>
                </c:pt>
                <c:pt idx="4">
                  <c:v>0.34</c:v>
                </c:pt>
                <c:pt idx="5">
                  <c:v>0.49</c:v>
                </c:pt>
                <c:pt idx="6">
                  <c:v>0.67</c:v>
                </c:pt>
                <c:pt idx="7">
                  <c:v>0.87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65-4AF4-BB26-E8409CF7E571}"/>
            </c:ext>
          </c:extLst>
        </c:ser>
        <c:ser>
          <c:idx val="2"/>
          <c:order val="2"/>
          <c:tx>
            <c:strRef>
              <c:f>Data!$K$22:$K$23</c:f>
              <c:strCache>
                <c:ptCount val="2"/>
                <c:pt idx="0">
                  <c:v>Static Loss</c:v>
                </c:pt>
                <c:pt idx="1">
                  <c:v>SMD-401 (extruded aluminum airfoil)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9050">
                <a:solidFill>
                  <a:srgbClr val="FF6600"/>
                </a:solidFill>
                <a:prstDash val="dash"/>
              </a:ln>
            </c:spPr>
            <c:trendlineType val="power"/>
            <c:forward val="500"/>
            <c:dispRSqr val="1"/>
            <c:dispEq val="1"/>
            <c:trendlineLbl>
              <c:layout>
                <c:manualLayout>
                  <c:x val="-0.22195314375799716"/>
                  <c:y val="-0.24676250019712442"/>
                </c:manualLayout>
              </c:layout>
              <c:numFmt formatCode="#,##0.000000000000" sourceLinked="0"/>
              <c:txPr>
                <a:bodyPr/>
                <a:lstStyle/>
                <a:p>
                  <a:pPr>
                    <a:defRPr sz="1200">
                      <a:solidFill>
                        <a:srgbClr val="FF66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Data!$H$24:$H$31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Data!$K$24:$K$31</c:f>
              <c:numCache>
                <c:formatCode>#,##0.00</c:formatCode>
                <c:ptCount val="8"/>
                <c:pt idx="0">
                  <c:v>6.875E-3</c:v>
                </c:pt>
                <c:pt idx="1">
                  <c:v>2.75E-2</c:v>
                </c:pt>
                <c:pt idx="2">
                  <c:v>6.1874999999999999E-2</c:v>
                </c:pt>
                <c:pt idx="3">
                  <c:v>0.11</c:v>
                </c:pt>
                <c:pt idx="4">
                  <c:v>0.171875</c:v>
                </c:pt>
                <c:pt idx="5">
                  <c:v>0.2475</c:v>
                </c:pt>
                <c:pt idx="6">
                  <c:v>0.33687499999999998</c:v>
                </c:pt>
                <c:pt idx="7">
                  <c:v>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65-4AF4-BB26-E8409CF7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2736"/>
        <c:axId val="52054272"/>
      </c:scatterChart>
      <c:valAx>
        <c:axId val="52052736"/>
        <c:scaling>
          <c:orientation val="minMax"/>
          <c:max val="4500"/>
          <c:min val="0"/>
        </c:scaling>
        <c:delete val="0"/>
        <c:axPos val="b"/>
        <c:majorGridlines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Velocity, fpm</a:t>
                </a:r>
              </a:p>
            </c:rich>
          </c:tx>
          <c:overlay val="0"/>
        </c:title>
        <c:numFmt formatCode="#,##0" sourceLinked="1"/>
        <c:majorTickMark val="out"/>
        <c:minorTickMark val="out"/>
        <c:tickLblPos val="nextTo"/>
        <c:spPr>
          <a:ln w="2222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2054272"/>
        <c:crosses val="autoZero"/>
        <c:crossBetween val="midCat"/>
        <c:majorUnit val="500"/>
        <c:minorUnit val="250"/>
      </c:valAx>
      <c:valAx>
        <c:axId val="52054272"/>
        <c:scaling>
          <c:orientation val="minMax"/>
          <c:max val="1.2"/>
          <c:min val="0"/>
        </c:scaling>
        <c:delete val="0"/>
        <c:axPos val="l"/>
        <c:majorGridlines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Static Pressure Loss, in.w.c.</a:t>
                </a:r>
              </a:p>
            </c:rich>
          </c:tx>
          <c:layout>
            <c:manualLayout>
              <c:xMode val="edge"/>
              <c:yMode val="edge"/>
              <c:x val="2.3436620550040876E-2"/>
              <c:y val="0.27416247193514459"/>
            </c:manualLayout>
          </c:layout>
          <c:overlay val="0"/>
        </c:title>
        <c:numFmt formatCode="#,##0.00" sourceLinked="1"/>
        <c:majorTickMark val="out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2052736"/>
        <c:crosses val="autoZero"/>
        <c:crossBetween val="midCat"/>
        <c:majorUnit val="0.2"/>
        <c:minorUnit val="0.05"/>
      </c:valAx>
    </c:plotArea>
    <c:legend>
      <c:legendPos val="r"/>
      <c:layout>
        <c:manualLayout>
          <c:xMode val="edge"/>
          <c:yMode val="edge"/>
          <c:x val="0.69421795964841382"/>
          <c:y val="0.40146015906847798"/>
          <c:w val="0.29699330764532089"/>
          <c:h val="0.4982389421961109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78002055776"/>
          <c:y val="2.4020608252358605E-2"/>
          <c:w val="0.52971975707112373"/>
          <c:h val="0.869729174244515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Data!$I$34:$I$35</c:f>
              <c:strCache>
                <c:ptCount val="2"/>
                <c:pt idx="0">
                  <c:v>Static Loss</c:v>
                </c:pt>
                <c:pt idx="1">
                  <c:v>SMD-401 with a plenum in and out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pPr>
              <a:solidFill>
                <a:srgbClr val="3333FF"/>
              </a:solidFill>
              <a:ln>
                <a:solidFill>
                  <a:srgbClr val="3333FF"/>
                </a:solidFill>
              </a:ln>
            </c:spPr>
          </c:marker>
          <c:xVal>
            <c:numRef>
              <c:f>Data!$H$36:$H$43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Data!$I$36:$I$43</c:f>
              <c:numCache>
                <c:formatCode>#,##0.00</c:formatCode>
                <c:ptCount val="8"/>
                <c:pt idx="0">
                  <c:v>3.90625E-2</c:v>
                </c:pt>
                <c:pt idx="1">
                  <c:v>0.15625</c:v>
                </c:pt>
                <c:pt idx="2">
                  <c:v>0.3515625</c:v>
                </c:pt>
                <c:pt idx="3">
                  <c:v>0.625</c:v>
                </c:pt>
                <c:pt idx="4">
                  <c:v>0.9765625</c:v>
                </c:pt>
                <c:pt idx="5">
                  <c:v>1.40625</c:v>
                </c:pt>
                <c:pt idx="6">
                  <c:v>1.9140625</c:v>
                </c:pt>
                <c:pt idx="7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24-466D-A25D-98125B17945E}"/>
            </c:ext>
          </c:extLst>
        </c:ser>
        <c:ser>
          <c:idx val="1"/>
          <c:order val="1"/>
          <c:tx>
            <c:strRef>
              <c:f>Data!$J$34:$J$35</c:f>
              <c:strCache>
                <c:ptCount val="2"/>
                <c:pt idx="0">
                  <c:v>Static Loss</c:v>
                </c:pt>
                <c:pt idx="1">
                  <c:v>SMD-401 with open discharge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Data!$H$36:$H$43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Data!$J$36:$J$43</c:f>
              <c:numCache>
                <c:formatCode>#,##0.00</c:formatCode>
                <c:ptCount val="8"/>
                <c:pt idx="0">
                  <c:v>1.7187500000000001E-2</c:v>
                </c:pt>
                <c:pt idx="1">
                  <c:v>6.8750000000000006E-2</c:v>
                </c:pt>
                <c:pt idx="2">
                  <c:v>0.15468750000000001</c:v>
                </c:pt>
                <c:pt idx="3">
                  <c:v>0.27500000000000002</c:v>
                </c:pt>
                <c:pt idx="4">
                  <c:v>0.42968750000000006</c:v>
                </c:pt>
                <c:pt idx="5">
                  <c:v>0.61875000000000002</c:v>
                </c:pt>
                <c:pt idx="6">
                  <c:v>0.84218750000000009</c:v>
                </c:pt>
                <c:pt idx="7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24-466D-A25D-98125B17945E}"/>
            </c:ext>
          </c:extLst>
        </c:ser>
        <c:ser>
          <c:idx val="2"/>
          <c:order val="2"/>
          <c:tx>
            <c:strRef>
              <c:f>Data!$K$34:$K$35</c:f>
              <c:strCache>
                <c:ptCount val="2"/>
                <c:pt idx="0">
                  <c:v>Static Loss</c:v>
                </c:pt>
                <c:pt idx="1">
                  <c:v>SMD-401 at full duct size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Data!$H$36:$H$43</c:f>
              <c:numCache>
                <c:formatCode>#,##0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Data!$K$36:$K$43</c:f>
              <c:numCache>
                <c:formatCode>#,##0.00</c:formatCode>
                <c:ptCount val="8"/>
                <c:pt idx="0">
                  <c:v>6.875E-3</c:v>
                </c:pt>
                <c:pt idx="1">
                  <c:v>2.75E-2</c:v>
                </c:pt>
                <c:pt idx="2">
                  <c:v>6.1874999999999999E-2</c:v>
                </c:pt>
                <c:pt idx="3">
                  <c:v>0.11</c:v>
                </c:pt>
                <c:pt idx="4">
                  <c:v>0.171875</c:v>
                </c:pt>
                <c:pt idx="5">
                  <c:v>0.2475</c:v>
                </c:pt>
                <c:pt idx="6">
                  <c:v>0.33687499999999998</c:v>
                </c:pt>
                <c:pt idx="7">
                  <c:v>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24-466D-A25D-98125B179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17760"/>
        <c:axId val="226520448"/>
      </c:scatterChart>
      <c:valAx>
        <c:axId val="226517760"/>
        <c:scaling>
          <c:orientation val="minMax"/>
          <c:max val="4500"/>
          <c:min val="0"/>
        </c:scaling>
        <c:delete val="0"/>
        <c:axPos val="b"/>
        <c:majorGridlines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Velocity, fpm</a:t>
                </a:r>
              </a:p>
            </c:rich>
          </c:tx>
          <c:overlay val="0"/>
        </c:title>
        <c:numFmt formatCode="#,##0" sourceLinked="1"/>
        <c:majorTickMark val="out"/>
        <c:minorTickMark val="out"/>
        <c:tickLblPos val="nextTo"/>
        <c:spPr>
          <a:ln w="2222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26520448"/>
        <c:crosses val="autoZero"/>
        <c:crossBetween val="midCat"/>
        <c:majorUnit val="500"/>
        <c:minorUnit val="250"/>
      </c:valAx>
      <c:valAx>
        <c:axId val="226520448"/>
        <c:scaling>
          <c:orientation val="minMax"/>
          <c:max val="2.6"/>
          <c:min val="0"/>
        </c:scaling>
        <c:delete val="0"/>
        <c:axPos val="l"/>
        <c:majorGridlines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Static Pressure Loss, in.w.c.</a:t>
                </a:r>
              </a:p>
            </c:rich>
          </c:tx>
          <c:layout>
            <c:manualLayout>
              <c:xMode val="edge"/>
              <c:yMode val="edge"/>
              <c:x val="2.3436620550040876E-2"/>
              <c:y val="0.2741624719351447"/>
            </c:manualLayout>
          </c:layout>
          <c:overlay val="0"/>
        </c:title>
        <c:numFmt formatCode="#,##0.00" sourceLinked="1"/>
        <c:majorTickMark val="out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26517760"/>
        <c:crosses val="autoZero"/>
        <c:crossBetween val="midCat"/>
        <c:majorUnit val="0.2"/>
        <c:minorUnit val="0.1"/>
      </c:valAx>
    </c:plotArea>
    <c:legend>
      <c:legendPos val="r"/>
      <c:layout>
        <c:manualLayout>
          <c:xMode val="edge"/>
          <c:yMode val="edge"/>
          <c:x val="0.69421795964841382"/>
          <c:y val="0.40146015906847798"/>
          <c:w val="0.29699330764532089"/>
          <c:h val="0.3080756388076745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D59D1C-42EE-40EB-B830-F39BE05396F9}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0.68826</cdr:x>
      <cdr:y>0.04787</cdr:y>
    </cdr:from>
    <cdr:to>
      <cdr:x>0.98873</cdr:x>
      <cdr:y>0.36999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7372" y="301217"/>
          <a:ext cx="2605128" cy="2027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Damper</a:t>
          </a:r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 Pressure Drop</a:t>
          </a:r>
        </a:p>
        <a:p xmlns:a="http://schemas.openxmlformats.org/drawingml/2006/main"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vs. Flow</a:t>
          </a:r>
        </a:p>
        <a:p xmlns:a="http://schemas.openxmlformats.org/drawingml/2006/main">
          <a:endParaRPr lang="en-US" sz="1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Greenheck Dampers</a:t>
          </a:r>
        </a:p>
        <a:p xmlns:a="http://schemas.openxmlformats.org/drawingml/2006/main">
          <a:endParaRPr lang="en-US" sz="5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24" x 24" damper size</a:t>
          </a:r>
        </a:p>
        <a:p xmlns:a="http://schemas.openxmlformats.org/drawingml/2006/main">
          <a:endParaRPr lang="en-US" sz="6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Damper is the full size of the duct </a:t>
          </a: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with straight duct entering and </a:t>
          </a: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leaving</a:t>
          </a:r>
        </a:p>
        <a:p xmlns:a="http://schemas.openxmlformats.org/drawingml/2006/main">
          <a:endParaRPr lang="en-US" sz="1800">
            <a:solidFill>
              <a:srgbClr val="000099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642" cy="6277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D5ED2D-DFD2-FD31-2771-796593D406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0.68826</cdr:x>
      <cdr:y>0.04787</cdr:y>
    </cdr:from>
    <cdr:to>
      <cdr:x>0.98873</cdr:x>
      <cdr:y>0.36999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7372" y="301217"/>
          <a:ext cx="2605128" cy="2027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Damper</a:t>
          </a:r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 Pressure Drop</a:t>
          </a:r>
        </a:p>
        <a:p xmlns:a="http://schemas.openxmlformats.org/drawingml/2006/main"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vs. Flow</a:t>
          </a:r>
        </a:p>
        <a:p xmlns:a="http://schemas.openxmlformats.org/drawingml/2006/main">
          <a:endParaRPr lang="en-US" sz="1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Greenheck Dampers</a:t>
          </a:r>
        </a:p>
        <a:p xmlns:a="http://schemas.openxmlformats.org/drawingml/2006/main">
          <a:endParaRPr lang="en-US" sz="5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24" x 24" damper size</a:t>
          </a:r>
        </a:p>
        <a:p xmlns:a="http://schemas.openxmlformats.org/drawingml/2006/main">
          <a:endParaRPr lang="en-US" sz="6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Damper is the full size of the duct </a:t>
          </a: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with straight duct entering and </a:t>
          </a: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leaving</a:t>
          </a:r>
        </a:p>
        <a:p xmlns:a="http://schemas.openxmlformats.org/drawingml/2006/main">
          <a:endParaRPr lang="en-US" sz="1800">
            <a:solidFill>
              <a:srgbClr val="000099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449580</xdr:colOff>
          <xdr:row>0</xdr:row>
          <xdr:rowOff>0</xdr:rowOff>
        </xdr:from>
        <xdr:to>
          <xdr:col>8</xdr:col>
          <xdr:colOff>0</xdr:colOff>
          <xdr:row>39</xdr:row>
          <xdr:rowOff>30480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C6F099B-EB52-4BB7-8A95-BAEC2EC85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987" cy="62939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0.68826</cdr:x>
      <cdr:y>0.04787</cdr:y>
    </cdr:from>
    <cdr:to>
      <cdr:x>0.98873</cdr:x>
      <cdr:y>0.36999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7372" y="301217"/>
          <a:ext cx="2605128" cy="2027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Damper</a:t>
          </a:r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 Pressure Drop</a:t>
          </a:r>
        </a:p>
        <a:p xmlns:a="http://schemas.openxmlformats.org/drawingml/2006/main">
          <a:r>
            <a:rPr lang="en-US" sz="1800" baseline="0">
              <a:solidFill>
                <a:srgbClr val="000099"/>
              </a:solidFill>
              <a:latin typeface="Arial" pitchFamily="34" charset="0"/>
              <a:cs typeface="Arial" pitchFamily="34" charset="0"/>
            </a:rPr>
            <a:t>vs. Flow</a:t>
          </a:r>
        </a:p>
        <a:p xmlns:a="http://schemas.openxmlformats.org/drawingml/2006/main">
          <a:endParaRPr lang="en-US" sz="12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Greenheck SMD-401 Extrueded</a:t>
          </a: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Aluminum Airfoil Blade Damper</a:t>
          </a:r>
        </a:p>
        <a:p xmlns:a="http://schemas.openxmlformats.org/drawingml/2006/main">
          <a:endParaRPr lang="en-US" sz="5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24" x 24" damper size</a:t>
          </a:r>
        </a:p>
        <a:p xmlns:a="http://schemas.openxmlformats.org/drawingml/2006/main">
          <a:endParaRPr lang="en-US" sz="600" baseline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800">
            <a:solidFill>
              <a:srgbClr val="000099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1676400</xdr:rowOff>
    </xdr:to>
    <xdr:pic>
      <xdr:nvPicPr>
        <xdr:cNvPr id="1057" name="Picture 33" descr="FDE new Logo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43350" cy="1676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5</xdr:col>
      <xdr:colOff>704850</xdr:colOff>
      <xdr:row>46</xdr:row>
      <xdr:rowOff>187325</xdr:rowOff>
    </xdr:to>
    <xdr:pic>
      <xdr:nvPicPr>
        <xdr:cNvPr id="1058" name="Picture 3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5425" y="5972175"/>
          <a:ext cx="6238875" cy="808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704850</xdr:colOff>
      <xdr:row>83</xdr:row>
      <xdr:rowOff>133350</xdr:rowOff>
    </xdr:to>
    <xdr:pic>
      <xdr:nvPicPr>
        <xdr:cNvPr id="1059" name="Picture 3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95425" y="14144625"/>
          <a:ext cx="6238875" cy="80581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11</xdr:col>
      <xdr:colOff>352425</xdr:colOff>
      <xdr:row>82</xdr:row>
      <xdr:rowOff>114300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43875" y="14392275"/>
          <a:ext cx="6238875" cy="803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DE Primary">
      <a:dk1>
        <a:srgbClr val="000000"/>
      </a:dk1>
      <a:lt1>
        <a:srgbClr val="FFFFFF"/>
      </a:lt1>
      <a:dk2>
        <a:srgbClr val="FFFFFF"/>
      </a:dk2>
      <a:lt2>
        <a:srgbClr val="000000"/>
      </a:lt2>
      <a:accent1>
        <a:srgbClr val="FF0000"/>
      </a:accent1>
      <a:accent2>
        <a:srgbClr val="FFFF00"/>
      </a:accent2>
      <a:accent3>
        <a:srgbClr val="FF9933"/>
      </a:accent3>
      <a:accent4>
        <a:srgbClr val="009900"/>
      </a:accent4>
      <a:accent5>
        <a:srgbClr val="0000FF"/>
      </a:accent5>
      <a:accent6>
        <a:srgbClr val="9933FF"/>
      </a:accent6>
      <a:hlink>
        <a:srgbClr val="00B0F0"/>
      </a:hlink>
      <a:folHlink>
        <a:srgbClr val="6565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..\..\..\..\..\Technical%20Library\Costs\Airfoil%20Blade%20vs.%20Conventional%20Blade.txt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2F5A-BB3C-4784-BCB3-E172687BBC02}">
  <dimension ref="D1:P56"/>
  <sheetViews>
    <sheetView tabSelected="1" zoomScaleNormal="100" workbookViewId="0">
      <selection activeCell="I18" sqref="I18"/>
    </sheetView>
  </sheetViews>
  <sheetFormatPr defaultRowHeight="15.6" x14ac:dyDescent="0.45"/>
  <cols>
    <col min="1" max="4" width="8.6640625" style="39"/>
    <col min="5" max="5" width="28.9140625" style="39" customWidth="1"/>
    <col min="6" max="10" width="8.6640625" style="39"/>
    <col min="11" max="11" width="7.9140625" style="40" customWidth="1"/>
    <col min="12" max="14" width="12.25" style="41" customWidth="1"/>
    <col min="15" max="16384" width="8.6640625" style="39"/>
  </cols>
  <sheetData>
    <row r="1" spans="10:16" x14ac:dyDescent="0.45">
      <c r="J1" s="39" t="s">
        <v>23</v>
      </c>
    </row>
    <row r="2" spans="10:16" ht="31.2" x14ac:dyDescent="0.45">
      <c r="L2" s="42" t="s">
        <v>24</v>
      </c>
      <c r="M2" s="42" t="s">
        <v>25</v>
      </c>
      <c r="N2" s="42" t="s">
        <v>26</v>
      </c>
    </row>
    <row r="3" spans="10:16" x14ac:dyDescent="0.45">
      <c r="K3" s="40" t="s">
        <v>27</v>
      </c>
      <c r="L3" s="41">
        <v>10000</v>
      </c>
      <c r="M3" s="41">
        <f>L3</f>
        <v>10000</v>
      </c>
      <c r="N3" s="41">
        <f>L3</f>
        <v>10000</v>
      </c>
      <c r="O3" s="43" t="s">
        <v>28</v>
      </c>
      <c r="P3" s="39" t="s">
        <v>29</v>
      </c>
    </row>
    <row r="4" spans="10:16" x14ac:dyDescent="0.45">
      <c r="K4" s="40" t="s">
        <v>30</v>
      </c>
      <c r="L4" s="44">
        <f>(3+(2/12))*(2+(2/12))</f>
        <v>6.8611111111111107</v>
      </c>
      <c r="M4" s="44">
        <f>L4</f>
        <v>6.8611111111111107</v>
      </c>
      <c r="N4" s="44">
        <f>L4</f>
        <v>6.8611111111111107</v>
      </c>
      <c r="O4" s="39" t="s">
        <v>31</v>
      </c>
    </row>
    <row r="5" spans="10:16" x14ac:dyDescent="0.45">
      <c r="K5" s="40" t="s">
        <v>32</v>
      </c>
      <c r="L5" s="41">
        <f>L3/L4</f>
        <v>1457.4898785425103</v>
      </c>
      <c r="M5" s="41">
        <f t="shared" ref="M5:N5" si="0">M3/M4</f>
        <v>1457.4898785425103</v>
      </c>
      <c r="N5" s="41">
        <f t="shared" si="0"/>
        <v>1457.4898785425103</v>
      </c>
      <c r="O5" s="39" t="s">
        <v>33</v>
      </c>
    </row>
    <row r="6" spans="10:16" x14ac:dyDescent="0.45">
      <c r="K6" s="40" t="s">
        <v>34</v>
      </c>
      <c r="L6" s="44">
        <f>0.000000091794*(L5^1.969291974625)</f>
        <v>0.15591119871274359</v>
      </c>
      <c r="M6" s="44">
        <f>0.000000024501*(M5^2.102260941545)</f>
        <v>0.10962464179374053</v>
      </c>
      <c r="N6" s="44">
        <f>0.0000000275*(N5^2)</f>
        <v>5.8417610516481193E-2</v>
      </c>
      <c r="O6" s="39" t="s">
        <v>35</v>
      </c>
    </row>
    <row r="7" spans="10:16" x14ac:dyDescent="0.45">
      <c r="K7" s="40" t="s">
        <v>36</v>
      </c>
      <c r="L7" s="45">
        <v>0.92400000000000004</v>
      </c>
      <c r="M7" s="45">
        <v>0.92400000000000004</v>
      </c>
      <c r="N7" s="45">
        <v>0.92400000000000004</v>
      </c>
    </row>
    <row r="8" spans="10:16" x14ac:dyDescent="0.45">
      <c r="K8" s="40" t="s">
        <v>37</v>
      </c>
      <c r="L8" s="45">
        <v>0.97</v>
      </c>
      <c r="M8" s="45">
        <v>0.97</v>
      </c>
      <c r="N8" s="45">
        <v>0.97</v>
      </c>
    </row>
    <row r="9" spans="10:16" x14ac:dyDescent="0.45">
      <c r="K9" s="40" t="s">
        <v>38</v>
      </c>
      <c r="L9" s="45">
        <v>0.97</v>
      </c>
      <c r="M9" s="45">
        <v>0.97</v>
      </c>
      <c r="N9" s="45">
        <v>0.97</v>
      </c>
    </row>
    <row r="10" spans="10:16" x14ac:dyDescent="0.45">
      <c r="K10" s="40" t="s">
        <v>39</v>
      </c>
      <c r="L10" s="44">
        <f>((L3*L6)/(6356*L7*L8*L9))*0.746</f>
        <v>0.2104828956500347</v>
      </c>
      <c r="M10" s="44">
        <f t="shared" ref="M10:N10" si="1">((M3*M6)/(6356*M7*M8*M9))*0.746</f>
        <v>0.14799521926489001</v>
      </c>
      <c r="N10" s="44">
        <f t="shared" si="1"/>
        <v>7.8864814843219222E-2</v>
      </c>
    </row>
    <row r="11" spans="10:16" x14ac:dyDescent="0.45">
      <c r="K11" s="40" t="s">
        <v>40</v>
      </c>
      <c r="L11" s="41">
        <v>5000</v>
      </c>
      <c r="M11" s="41">
        <v>5000</v>
      </c>
      <c r="N11" s="41">
        <v>5000</v>
      </c>
    </row>
    <row r="12" spans="10:16" x14ac:dyDescent="0.45">
      <c r="K12" s="40" t="s">
        <v>41</v>
      </c>
      <c r="L12" s="41">
        <f>L11*L10</f>
        <v>1052.4144782501735</v>
      </c>
      <c r="M12" s="41">
        <f t="shared" ref="M12:N12" si="2">M11*M10</f>
        <v>739.97609632445005</v>
      </c>
      <c r="N12" s="41">
        <f t="shared" si="2"/>
        <v>394.32407421609611</v>
      </c>
    </row>
    <row r="13" spans="10:16" x14ac:dyDescent="0.45">
      <c r="K13" s="40" t="s">
        <v>42</v>
      </c>
      <c r="L13" s="41" t="s">
        <v>43</v>
      </c>
      <c r="M13" s="41">
        <f>L12-M12</f>
        <v>312.43838192572343</v>
      </c>
      <c r="N13" s="41">
        <f>L12-N12</f>
        <v>658.09040403407744</v>
      </c>
    </row>
    <row r="14" spans="10:16" x14ac:dyDescent="0.45">
      <c r="K14" s="40" t="s">
        <v>44</v>
      </c>
      <c r="L14" s="46">
        <v>0.19</v>
      </c>
      <c r="M14" s="46">
        <v>0.19</v>
      </c>
      <c r="N14" s="46">
        <v>0.19</v>
      </c>
    </row>
    <row r="15" spans="10:16" x14ac:dyDescent="0.45">
      <c r="M15" s="47">
        <f>M14*M13</f>
        <v>59.363292565887456</v>
      </c>
      <c r="N15" s="47">
        <f>N14*N13</f>
        <v>125.03717676647472</v>
      </c>
    </row>
    <row r="16" spans="10:16" x14ac:dyDescent="0.45">
      <c r="K16" s="40" t="s">
        <v>45</v>
      </c>
      <c r="L16" s="47">
        <f>L4*$E$41</f>
        <v>1026.4222222222222</v>
      </c>
      <c r="M16" s="47"/>
      <c r="N16" s="47">
        <f>N4*$F$41</f>
        <v>1213.0444444444443</v>
      </c>
    </row>
    <row r="17" spans="10:15" x14ac:dyDescent="0.45">
      <c r="K17" s="40" t="s">
        <v>46</v>
      </c>
      <c r="L17" s="47"/>
      <c r="M17" s="47"/>
      <c r="N17" s="47">
        <f>N16-L16</f>
        <v>186.62222222222204</v>
      </c>
    </row>
    <row r="18" spans="10:15" x14ac:dyDescent="0.45">
      <c r="K18" s="40" t="s">
        <v>47</v>
      </c>
      <c r="L18" s="47"/>
      <c r="M18" s="47"/>
      <c r="N18" s="44">
        <f>N17/N15</f>
        <v>1.4925338771105368</v>
      </c>
      <c r="O18" s="39" t="s">
        <v>48</v>
      </c>
    </row>
    <row r="20" spans="10:15" x14ac:dyDescent="0.45">
      <c r="J20" s="39" t="s">
        <v>49</v>
      </c>
    </row>
    <row r="21" spans="10:15" ht="31.2" x14ac:dyDescent="0.45">
      <c r="L21" s="42" t="s">
        <v>24</v>
      </c>
      <c r="M21" s="42" t="s">
        <v>25</v>
      </c>
      <c r="N21" s="42" t="s">
        <v>26</v>
      </c>
    </row>
    <row r="22" spans="10:15" x14ac:dyDescent="0.45">
      <c r="K22" s="40" t="s">
        <v>27</v>
      </c>
      <c r="L22" s="41">
        <v>10000</v>
      </c>
      <c r="M22" s="41">
        <f>L22</f>
        <v>10000</v>
      </c>
      <c r="N22" s="41">
        <f>L22</f>
        <v>10000</v>
      </c>
      <c r="O22" s="43" t="s">
        <v>28</v>
      </c>
    </row>
    <row r="23" spans="10:15" x14ac:dyDescent="0.45">
      <c r="K23" s="40" t="s">
        <v>30</v>
      </c>
      <c r="L23" s="44">
        <f>L22/L24</f>
        <v>5</v>
      </c>
      <c r="M23" s="44">
        <f t="shared" ref="M23:N23" si="3">M22/M24</f>
        <v>5</v>
      </c>
      <c r="N23" s="44">
        <f t="shared" si="3"/>
        <v>5</v>
      </c>
      <c r="O23" s="39" t="s">
        <v>31</v>
      </c>
    </row>
    <row r="24" spans="10:15" x14ac:dyDescent="0.45">
      <c r="K24" s="40" t="s">
        <v>32</v>
      </c>
      <c r="L24" s="41">
        <v>2000</v>
      </c>
      <c r="M24" s="41">
        <v>2000</v>
      </c>
      <c r="N24" s="41">
        <v>2000</v>
      </c>
      <c r="O24" s="39" t="s">
        <v>33</v>
      </c>
    </row>
    <row r="25" spans="10:15" x14ac:dyDescent="0.45">
      <c r="K25" s="40" t="s">
        <v>34</v>
      </c>
      <c r="L25" s="44">
        <f>0.000000091794*(L24^1.969291974625)</f>
        <v>0.29074092878044089</v>
      </c>
      <c r="M25" s="44">
        <f>0.000000024501*(M24^2.102260941545)</f>
        <v>0.21321130927582285</v>
      </c>
      <c r="N25" s="44">
        <f>0.0000000275*(N24^2)</f>
        <v>0.11</v>
      </c>
      <c r="O25" s="39" t="s">
        <v>35</v>
      </c>
    </row>
    <row r="26" spans="10:15" x14ac:dyDescent="0.45">
      <c r="K26" s="40" t="s">
        <v>36</v>
      </c>
      <c r="L26" s="45">
        <v>0.92400000000000004</v>
      </c>
      <c r="M26" s="45">
        <v>0.92400000000000004</v>
      </c>
      <c r="N26" s="45">
        <v>0.92400000000000004</v>
      </c>
    </row>
    <row r="27" spans="10:15" x14ac:dyDescent="0.45">
      <c r="K27" s="40" t="s">
        <v>37</v>
      </c>
      <c r="L27" s="45">
        <v>0.97</v>
      </c>
      <c r="M27" s="45">
        <v>0.97</v>
      </c>
      <c r="N27" s="45">
        <v>0.97</v>
      </c>
    </row>
    <row r="28" spans="10:15" x14ac:dyDescent="0.45">
      <c r="K28" s="40" t="s">
        <v>38</v>
      </c>
      <c r="L28" s="45">
        <v>0.97</v>
      </c>
      <c r="M28" s="45">
        <v>0.97</v>
      </c>
      <c r="N28" s="45">
        <v>0.97</v>
      </c>
    </row>
    <row r="29" spans="10:15" x14ac:dyDescent="0.45">
      <c r="K29" s="40" t="s">
        <v>39</v>
      </c>
      <c r="L29" s="44">
        <f>((L22*L25)/(6356*L26*L27*L28))*0.746</f>
        <v>0.39250543308590302</v>
      </c>
      <c r="M29" s="44">
        <f t="shared" ref="M29:N29" si="4">((M22*M25)/(6356*M26*M27*M28))*0.746</f>
        <v>0.28783906564911937</v>
      </c>
      <c r="N29" s="44">
        <f t="shared" si="4"/>
        <v>0.14850195952993703</v>
      </c>
    </row>
    <row r="30" spans="10:15" x14ac:dyDescent="0.45">
      <c r="K30" s="40" t="s">
        <v>40</v>
      </c>
      <c r="L30" s="41">
        <v>5000</v>
      </c>
      <c r="M30" s="41">
        <v>5000</v>
      </c>
      <c r="N30" s="41">
        <v>5000</v>
      </c>
    </row>
    <row r="31" spans="10:15" x14ac:dyDescent="0.45">
      <c r="K31" s="40" t="s">
        <v>41</v>
      </c>
      <c r="L31" s="41">
        <f>L30*L29</f>
        <v>1962.5271654295152</v>
      </c>
      <c r="M31" s="41">
        <f t="shared" ref="M31:N31" si="5">M30*M29</f>
        <v>1439.1953282455968</v>
      </c>
      <c r="N31" s="41">
        <f t="shared" si="5"/>
        <v>742.50979764968508</v>
      </c>
    </row>
    <row r="32" spans="10:15" x14ac:dyDescent="0.45">
      <c r="K32" s="40" t="s">
        <v>42</v>
      </c>
      <c r="L32" s="41" t="s">
        <v>43</v>
      </c>
      <c r="M32" s="41">
        <f>L31-M31</f>
        <v>523.33183718391842</v>
      </c>
      <c r="N32" s="41">
        <f>L31-N31</f>
        <v>1220.0173677798302</v>
      </c>
    </row>
    <row r="33" spans="4:15" x14ac:dyDescent="0.45">
      <c r="K33" s="40" t="s">
        <v>44</v>
      </c>
      <c r="L33" s="46">
        <v>0.19</v>
      </c>
      <c r="M33" s="46">
        <v>0.19</v>
      </c>
      <c r="N33" s="46">
        <v>0.19</v>
      </c>
    </row>
    <row r="34" spans="4:15" x14ac:dyDescent="0.45">
      <c r="M34" s="47">
        <f>M33*M32</f>
        <v>99.433049064944498</v>
      </c>
      <c r="N34" s="47">
        <f>N33*N32</f>
        <v>231.80329987816773</v>
      </c>
    </row>
    <row r="35" spans="4:15" x14ac:dyDescent="0.45">
      <c r="K35" s="40" t="s">
        <v>45</v>
      </c>
      <c r="L35" s="47">
        <f>L23*$E$41</f>
        <v>748</v>
      </c>
      <c r="M35" s="47"/>
      <c r="N35" s="47">
        <f>N23*$F$41</f>
        <v>883.99999999999989</v>
      </c>
    </row>
    <row r="36" spans="4:15" x14ac:dyDescent="0.45">
      <c r="K36" s="40" t="s">
        <v>46</v>
      </c>
      <c r="L36" s="47"/>
      <c r="M36" s="47"/>
      <c r="N36" s="47">
        <f>N35-L35</f>
        <v>135.99999999999989</v>
      </c>
    </row>
    <row r="37" spans="4:15" x14ac:dyDescent="0.45">
      <c r="K37" s="40" t="s">
        <v>47</v>
      </c>
      <c r="L37" s="47"/>
      <c r="M37" s="47"/>
      <c r="N37" s="44">
        <f>N36/N34</f>
        <v>0.58670433109226405</v>
      </c>
      <c r="O37" s="39" t="s">
        <v>48</v>
      </c>
    </row>
    <row r="39" spans="4:15" x14ac:dyDescent="0.45">
      <c r="J39" s="39" t="s">
        <v>54</v>
      </c>
    </row>
    <row r="40" spans="4:15" ht="31.2" x14ac:dyDescent="0.45">
      <c r="E40" s="42" t="s">
        <v>24</v>
      </c>
      <c r="F40" s="42" t="s">
        <v>26</v>
      </c>
      <c r="L40" s="42" t="s">
        <v>24</v>
      </c>
      <c r="M40" s="42" t="s">
        <v>25</v>
      </c>
      <c r="N40" s="42" t="s">
        <v>26</v>
      </c>
    </row>
    <row r="41" spans="4:15" x14ac:dyDescent="0.45">
      <c r="D41" s="40" t="s">
        <v>50</v>
      </c>
      <c r="E41" s="47">
        <f>88*1.7</f>
        <v>149.6</v>
      </c>
      <c r="F41" s="47">
        <f>104*1.7</f>
        <v>176.79999999999998</v>
      </c>
      <c r="G41" s="39" t="s">
        <v>51</v>
      </c>
      <c r="K41" s="40" t="s">
        <v>27</v>
      </c>
      <c r="L41" s="41">
        <v>10000</v>
      </c>
      <c r="M41" s="41">
        <f>L41</f>
        <v>10000</v>
      </c>
      <c r="N41" s="41">
        <f>L41</f>
        <v>10000</v>
      </c>
      <c r="O41" s="43" t="s">
        <v>28</v>
      </c>
    </row>
    <row r="42" spans="4:15" x14ac:dyDescent="0.45">
      <c r="D42" s="40" t="s">
        <v>52</v>
      </c>
      <c r="E42" s="48" t="s">
        <v>53</v>
      </c>
      <c r="K42" s="40" t="s">
        <v>30</v>
      </c>
      <c r="L42" s="44">
        <f>L41/L43</f>
        <v>5</v>
      </c>
      <c r="M42" s="44">
        <f t="shared" ref="M42:N42" si="6">M41/M43</f>
        <v>5</v>
      </c>
      <c r="N42" s="44">
        <f t="shared" si="6"/>
        <v>5</v>
      </c>
      <c r="O42" s="39" t="s">
        <v>31</v>
      </c>
    </row>
    <row r="43" spans="4:15" x14ac:dyDescent="0.45">
      <c r="E43" s="48" t="s">
        <v>55</v>
      </c>
      <c r="K43" s="40" t="s">
        <v>32</v>
      </c>
      <c r="L43" s="41">
        <v>2000</v>
      </c>
      <c r="M43" s="41">
        <v>2000</v>
      </c>
      <c r="N43" s="41">
        <v>2000</v>
      </c>
      <c r="O43" s="39" t="s">
        <v>33</v>
      </c>
    </row>
    <row r="44" spans="4:15" x14ac:dyDescent="0.45">
      <c r="K44" s="40" t="s">
        <v>34</v>
      </c>
      <c r="L44" s="44">
        <f>0.000000091794*(L43^1.969291974625)</f>
        <v>0.29074092878044089</v>
      </c>
      <c r="M44" s="44">
        <f>0.000000024501*(M43^2.102260941545)</f>
        <v>0.21321130927582285</v>
      </c>
      <c r="N44" s="44">
        <f>0.0000000275*(N43^2)</f>
        <v>0.11</v>
      </c>
      <c r="O44" s="39" t="s">
        <v>35</v>
      </c>
    </row>
    <row r="45" spans="4:15" x14ac:dyDescent="0.45">
      <c r="K45" s="40" t="s">
        <v>36</v>
      </c>
      <c r="L45" s="45">
        <v>0.92400000000000004</v>
      </c>
      <c r="M45" s="45">
        <v>0.92400000000000004</v>
      </c>
      <c r="N45" s="45">
        <v>0.92400000000000004</v>
      </c>
    </row>
    <row r="46" spans="4:15" x14ac:dyDescent="0.45">
      <c r="K46" s="40" t="s">
        <v>37</v>
      </c>
      <c r="L46" s="45">
        <v>0.97</v>
      </c>
      <c r="M46" s="45">
        <v>0.97</v>
      </c>
      <c r="N46" s="45">
        <v>0.97</v>
      </c>
    </row>
    <row r="47" spans="4:15" x14ac:dyDescent="0.45">
      <c r="K47" s="40" t="s">
        <v>38</v>
      </c>
      <c r="L47" s="45">
        <v>0.97</v>
      </c>
      <c r="M47" s="45">
        <v>0.97</v>
      </c>
      <c r="N47" s="45">
        <v>0.97</v>
      </c>
    </row>
    <row r="48" spans="4:15" x14ac:dyDescent="0.45">
      <c r="K48" s="40" t="s">
        <v>39</v>
      </c>
      <c r="L48" s="44">
        <f>((L41*L44)/(6356*L45*L46*L47))*0.746</f>
        <v>0.39250543308590302</v>
      </c>
      <c r="M48" s="44">
        <f t="shared" ref="M48:N48" si="7">((M41*M44)/(6356*M45*M46*M47))*0.746</f>
        <v>0.28783906564911937</v>
      </c>
      <c r="N48" s="44">
        <f t="shared" si="7"/>
        <v>0.14850195952993703</v>
      </c>
    </row>
    <row r="49" spans="11:15" x14ac:dyDescent="0.45">
      <c r="K49" s="40" t="s">
        <v>40</v>
      </c>
      <c r="L49" s="41">
        <v>8760</v>
      </c>
      <c r="M49" s="41">
        <v>8760</v>
      </c>
      <c r="N49" s="41">
        <v>8760</v>
      </c>
    </row>
    <row r="50" spans="11:15" x14ac:dyDescent="0.45">
      <c r="K50" s="40" t="s">
        <v>41</v>
      </c>
      <c r="L50" s="41">
        <f>L49*L48</f>
        <v>3438.3475938325105</v>
      </c>
      <c r="M50" s="41">
        <f t="shared" ref="M50:N50" si="8">M49*M48</f>
        <v>2521.4702150862859</v>
      </c>
      <c r="N50" s="41">
        <f t="shared" si="8"/>
        <v>1300.8771654822483</v>
      </c>
    </row>
    <row r="51" spans="11:15" x14ac:dyDescent="0.45">
      <c r="K51" s="40" t="s">
        <v>42</v>
      </c>
      <c r="L51" s="41" t="s">
        <v>43</v>
      </c>
      <c r="M51" s="41">
        <f>L50-M50</f>
        <v>916.87737874622462</v>
      </c>
      <c r="N51" s="41">
        <f>L50-N50</f>
        <v>2137.4704283502624</v>
      </c>
    </row>
    <row r="52" spans="11:15" x14ac:dyDescent="0.45">
      <c r="K52" s="40" t="s">
        <v>44</v>
      </c>
      <c r="L52" s="46">
        <v>0.19</v>
      </c>
      <c r="M52" s="46">
        <v>0.19</v>
      </c>
      <c r="N52" s="46">
        <v>0.19</v>
      </c>
    </row>
    <row r="53" spans="11:15" x14ac:dyDescent="0.45">
      <c r="M53" s="47">
        <f>M52*M51</f>
        <v>174.20670196178267</v>
      </c>
      <c r="N53" s="47">
        <f>N52*N51</f>
        <v>406.11938138654989</v>
      </c>
    </row>
    <row r="54" spans="11:15" x14ac:dyDescent="0.45">
      <c r="K54" s="40" t="s">
        <v>45</v>
      </c>
      <c r="L54" s="47">
        <f>L42*$E$41</f>
        <v>748</v>
      </c>
      <c r="M54" s="47"/>
      <c r="N54" s="47">
        <f>N42*$F$41</f>
        <v>883.99999999999989</v>
      </c>
    </row>
    <row r="55" spans="11:15" x14ac:dyDescent="0.45">
      <c r="K55" s="40" t="s">
        <v>46</v>
      </c>
      <c r="L55" s="47"/>
      <c r="M55" s="47"/>
      <c r="N55" s="47">
        <f>N54-L54</f>
        <v>135.99999999999989</v>
      </c>
    </row>
    <row r="56" spans="11:15" x14ac:dyDescent="0.45">
      <c r="K56" s="40" t="s">
        <v>47</v>
      </c>
      <c r="L56" s="47"/>
      <c r="M56" s="47"/>
      <c r="N56" s="44">
        <f>N55/N53</f>
        <v>0.33487690130836983</v>
      </c>
      <c r="O56" s="39" t="s">
        <v>48</v>
      </c>
    </row>
  </sheetData>
  <hyperlinks>
    <hyperlink ref="E42" r:id="rId1" xr:uid="{E74200DB-25B4-4575-A0E8-4036B6EAAC89}"/>
    <hyperlink ref="E43" r:id="rId2" xr:uid="{124E0967-8C3F-4B86-99AA-32DF5E62479F}"/>
  </hyperlinks>
  <pageMargins left="0.7" right="0.7" top="0.75" bottom="0.75" header="0.3" footer="0.3"/>
  <pageSetup orientation="portrait" horizontalDpi="1200" verticalDpi="1200" r:id="rId3"/>
  <drawing r:id="rId4"/>
  <legacyDrawing r:id="rId5"/>
  <oleObjects>
    <mc:AlternateContent xmlns:mc="http://schemas.openxmlformats.org/markup-compatibility/2006">
      <mc:Choice Requires="x14">
        <oleObject progId="Equation.DSMT4" shapeId="4097" r:id="rId6">
          <objectPr defaultSize="0" autoPict="0" r:id="rId7">
            <anchor moveWithCells="1">
              <from>
                <xdr:col>0</xdr:col>
                <xdr:colOff>449580</xdr:colOff>
                <xdr:row>0</xdr:row>
                <xdr:rowOff>0</xdr:rowOff>
              </from>
              <to>
                <xdr:col>8</xdr:col>
                <xdr:colOff>0</xdr:colOff>
                <xdr:row>39</xdr:row>
                <xdr:rowOff>30480</xdr:rowOff>
              </to>
            </anchor>
          </objectPr>
        </oleObject>
      </mc:Choice>
      <mc:Fallback>
        <oleObject progId="Equation.DSMT4" shapeId="409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Q51"/>
  <sheetViews>
    <sheetView defaultGridColor="0" topLeftCell="F18" colorId="22" zoomScale="75" workbookViewId="0">
      <selection activeCell="I43" sqref="I43"/>
    </sheetView>
  </sheetViews>
  <sheetFormatPr defaultColWidth="11" defaultRowHeight="18.600000000000001" x14ac:dyDescent="0.45"/>
  <cols>
    <col min="1" max="1" width="15.6640625" style="1" customWidth="1"/>
    <col min="2" max="2" width="25.6640625" style="2" customWidth="1"/>
    <col min="3" max="3" width="11.6640625" style="1" customWidth="1"/>
    <col min="4" max="4" width="9.6640625" style="1" customWidth="1"/>
    <col min="5" max="5" width="11" style="1"/>
    <col min="6" max="7" width="11.6640625" style="1" customWidth="1"/>
    <col min="8" max="8" width="13.6640625" style="1" customWidth="1"/>
    <col min="9" max="9" width="11" style="1"/>
    <col min="10" max="10" width="11.6640625" style="1" customWidth="1"/>
    <col min="11" max="11" width="13.6640625" style="1" customWidth="1"/>
    <col min="12" max="13" width="11" style="1"/>
    <col min="14" max="15" width="14.6640625" style="1" customWidth="1"/>
    <col min="16" max="17" width="15.6640625" style="1" customWidth="1"/>
    <col min="18" max="18" width="11" style="1"/>
    <col min="19" max="19" width="11.6640625" style="1" customWidth="1"/>
    <col min="20" max="20" width="14.6640625" style="1" customWidth="1"/>
    <col min="21" max="16384" width="11" style="1"/>
  </cols>
  <sheetData>
    <row r="1" spans="1:14" ht="138.75" customHeight="1" x14ac:dyDescent="0.45">
      <c r="C1" s="3"/>
    </row>
    <row r="2" spans="1:14" ht="19.5" customHeight="1" x14ac:dyDescent="0.45">
      <c r="A2" s="4" t="s">
        <v>7</v>
      </c>
      <c r="B2" s="5"/>
      <c r="C2" s="3"/>
    </row>
    <row r="3" spans="1:14" ht="19.5" customHeight="1" x14ac:dyDescent="0.45">
      <c r="A3" s="4" t="s">
        <v>8</v>
      </c>
      <c r="B3" s="5"/>
      <c r="C3" s="3"/>
    </row>
    <row r="4" spans="1:14" ht="19.8" x14ac:dyDescent="0.45">
      <c r="A4" s="6" t="s">
        <v>0</v>
      </c>
      <c r="B4" s="24"/>
      <c r="C4" s="3"/>
      <c r="D4" s="3"/>
    </row>
    <row r="5" spans="1:14" customFormat="1" x14ac:dyDescent="0.45">
      <c r="A5" s="7" t="s">
        <v>5</v>
      </c>
      <c r="B5" s="26">
        <v>40839.434367939815</v>
      </c>
      <c r="C5" s="12"/>
      <c r="D5" s="12"/>
      <c r="E5" s="8"/>
      <c r="F5" s="8"/>
      <c r="G5" s="9"/>
      <c r="H5" s="8"/>
      <c r="I5" s="8"/>
      <c r="J5" s="8"/>
      <c r="K5" s="8"/>
      <c r="L5" s="10"/>
      <c r="M5" s="8"/>
      <c r="N5" s="8"/>
    </row>
    <row r="6" spans="1:14" customFormat="1" x14ac:dyDescent="0.45">
      <c r="A6" s="7" t="s">
        <v>1</v>
      </c>
      <c r="B6" s="27" t="s">
        <v>9</v>
      </c>
      <c r="C6" s="12"/>
      <c r="D6" s="12"/>
      <c r="E6" s="8"/>
      <c r="F6" s="8"/>
      <c r="G6" s="9"/>
      <c r="H6" s="8"/>
      <c r="I6" s="8"/>
      <c r="J6" s="8"/>
      <c r="K6" s="8"/>
      <c r="L6" s="10"/>
      <c r="M6" s="8"/>
      <c r="N6" s="8"/>
    </row>
    <row r="7" spans="1:14" customFormat="1" x14ac:dyDescent="0.45">
      <c r="A7" s="7" t="s">
        <v>2</v>
      </c>
      <c r="B7" s="27" t="s">
        <v>9</v>
      </c>
      <c r="C7" s="12"/>
      <c r="D7" s="12"/>
      <c r="E7" s="8"/>
      <c r="F7" s="8"/>
      <c r="G7" s="9"/>
      <c r="H7" s="8"/>
      <c r="I7" s="8"/>
      <c r="J7" s="8"/>
      <c r="K7" s="8"/>
      <c r="L7" s="10"/>
      <c r="M7" s="8"/>
      <c r="N7" s="8"/>
    </row>
    <row r="8" spans="1:14" customFormat="1" x14ac:dyDescent="0.45">
      <c r="A8" s="7" t="s">
        <v>3</v>
      </c>
      <c r="B8" s="27" t="s">
        <v>10</v>
      </c>
      <c r="C8" s="12"/>
      <c r="D8" s="12"/>
      <c r="E8" s="8"/>
      <c r="F8" s="8"/>
      <c r="G8" s="9"/>
      <c r="H8" s="8"/>
      <c r="I8" s="8"/>
      <c r="J8" s="8"/>
      <c r="K8" s="8"/>
      <c r="L8" s="10"/>
      <c r="M8" s="8"/>
      <c r="N8" s="8"/>
    </row>
    <row r="9" spans="1:14" customFormat="1" x14ac:dyDescent="0.45">
      <c r="A9" s="11" t="s">
        <v>4</v>
      </c>
      <c r="B9" s="12"/>
      <c r="C9" s="12"/>
      <c r="D9" s="12"/>
      <c r="E9" s="8"/>
      <c r="F9" s="8"/>
      <c r="G9" s="8"/>
      <c r="H9" s="8"/>
      <c r="I9" s="8"/>
      <c r="J9" s="8"/>
      <c r="K9" s="8"/>
      <c r="L9" s="10"/>
      <c r="M9" s="8"/>
      <c r="N9" s="8"/>
    </row>
    <row r="10" spans="1:14" customFormat="1" x14ac:dyDescent="0.45">
      <c r="A10" s="13">
        <v>1</v>
      </c>
      <c r="B10" s="27" t="s">
        <v>13</v>
      </c>
      <c r="C10" s="12"/>
      <c r="D10" s="23"/>
      <c r="E10" s="8"/>
      <c r="F10" s="8"/>
      <c r="G10" s="9"/>
      <c r="H10" s="8"/>
      <c r="I10" s="8"/>
      <c r="J10" s="8"/>
      <c r="K10" s="8"/>
      <c r="L10" s="10"/>
      <c r="M10" s="8"/>
      <c r="N10" s="8"/>
    </row>
    <row r="11" spans="1:14" customFormat="1" x14ac:dyDescent="0.45">
      <c r="A11" s="13">
        <f>A10+1</f>
        <v>2</v>
      </c>
      <c r="B11" s="25" t="s">
        <v>6</v>
      </c>
      <c r="C11" s="12"/>
      <c r="D11" s="12"/>
      <c r="E11" s="8"/>
      <c r="F11" s="8"/>
      <c r="G11" s="9"/>
      <c r="H11" s="8"/>
      <c r="I11" s="8"/>
      <c r="J11" s="8"/>
      <c r="K11" s="8"/>
      <c r="L11" s="10"/>
      <c r="M11" s="8"/>
      <c r="N11" s="8"/>
    </row>
    <row r="12" spans="1:14" customFormat="1" x14ac:dyDescent="0.45">
      <c r="A12" s="13">
        <f>A11+1</f>
        <v>3</v>
      </c>
      <c r="B12" s="25" t="s">
        <v>6</v>
      </c>
      <c r="C12" s="12"/>
      <c r="D12" s="12"/>
      <c r="E12" s="8"/>
      <c r="F12" s="8"/>
      <c r="G12" s="9"/>
      <c r="H12" s="8"/>
      <c r="I12" s="8"/>
      <c r="J12" s="8"/>
      <c r="K12" s="8"/>
      <c r="L12" s="10"/>
      <c r="M12" s="8"/>
      <c r="N12" s="8"/>
    </row>
    <row r="13" spans="1:14" customFormat="1" x14ac:dyDescent="0.45">
      <c r="A13" s="13">
        <f>A12+1</f>
        <v>4</v>
      </c>
      <c r="B13" s="25" t="s">
        <v>6</v>
      </c>
      <c r="C13" s="12"/>
      <c r="D13" s="12"/>
      <c r="E13" s="8"/>
      <c r="F13" s="8"/>
      <c r="G13" s="9"/>
      <c r="H13" s="8"/>
      <c r="I13" s="8"/>
      <c r="J13" s="8"/>
      <c r="K13" s="8"/>
      <c r="L13" s="10"/>
      <c r="M13" s="8"/>
      <c r="N13" s="8"/>
    </row>
    <row r="14" spans="1:14" customFormat="1" x14ac:dyDescent="0.45">
      <c r="A14" s="13">
        <v>5</v>
      </c>
      <c r="B14" s="25" t="s">
        <v>6</v>
      </c>
      <c r="C14" s="12"/>
      <c r="D14" s="12"/>
      <c r="E14" s="8"/>
      <c r="F14" s="8"/>
      <c r="G14" s="9"/>
      <c r="H14" s="8"/>
      <c r="I14" s="8"/>
      <c r="J14" s="8"/>
      <c r="K14" s="8"/>
      <c r="L14" s="10"/>
      <c r="M14" s="8"/>
      <c r="N14" s="8"/>
    </row>
    <row r="15" spans="1:14" customFormat="1" x14ac:dyDescent="0.45">
      <c r="A15" s="13">
        <v>6</v>
      </c>
      <c r="B15" s="25" t="s">
        <v>6</v>
      </c>
      <c r="C15" s="12"/>
      <c r="D15" s="12"/>
      <c r="E15" s="8"/>
      <c r="F15" s="8"/>
      <c r="G15" s="9"/>
      <c r="H15" s="8"/>
      <c r="I15" s="8"/>
      <c r="J15" s="8"/>
      <c r="K15" s="8"/>
      <c r="L15" s="10"/>
      <c r="M15" s="8"/>
      <c r="N15" s="8"/>
    </row>
    <row r="16" spans="1:14" customFormat="1" x14ac:dyDescent="0.45">
      <c r="A16" s="13">
        <v>7</v>
      </c>
      <c r="B16" s="25" t="s">
        <v>6</v>
      </c>
      <c r="C16" s="12"/>
      <c r="D16" s="12"/>
      <c r="E16" s="8"/>
      <c r="F16" s="8"/>
      <c r="G16" s="9"/>
      <c r="H16" s="8"/>
      <c r="I16" s="8"/>
      <c r="J16" s="8"/>
      <c r="K16" s="8"/>
      <c r="L16" s="10"/>
      <c r="M16" s="8"/>
      <c r="N16" s="8"/>
    </row>
    <row r="17" spans="1:17" customFormat="1" x14ac:dyDescent="0.45">
      <c r="A17" s="13">
        <v>8</v>
      </c>
      <c r="B17" s="25" t="s">
        <v>6</v>
      </c>
      <c r="C17" s="12"/>
      <c r="D17" s="12"/>
      <c r="E17" s="8"/>
      <c r="F17" s="8"/>
      <c r="G17" s="9"/>
      <c r="H17" s="8"/>
      <c r="I17" s="8"/>
      <c r="J17" s="8"/>
      <c r="K17" s="8"/>
      <c r="L17" s="10"/>
      <c r="M17" s="8"/>
      <c r="N17" s="8"/>
    </row>
    <row r="18" spans="1:17" ht="19.8" x14ac:dyDescent="0.45">
      <c r="A18" s="14"/>
      <c r="B18" s="24"/>
    </row>
    <row r="20" spans="1:17" x14ac:dyDescent="0.45">
      <c r="A20" s="15"/>
    </row>
    <row r="21" spans="1:17" x14ac:dyDescent="0.45">
      <c r="A21" s="15"/>
    </row>
    <row r="22" spans="1:17" x14ac:dyDescent="0.45">
      <c r="A22" s="15"/>
      <c r="H22" s="35" t="s">
        <v>12</v>
      </c>
      <c r="I22" s="35" t="s">
        <v>11</v>
      </c>
      <c r="J22" s="35"/>
      <c r="K22" s="35"/>
      <c r="L22" s="35" t="s">
        <v>17</v>
      </c>
      <c r="M22" s="38"/>
      <c r="N22" s="38"/>
      <c r="O22" s="35" t="s">
        <v>18</v>
      </c>
      <c r="P22" s="35"/>
      <c r="Q22" s="35"/>
    </row>
    <row r="23" spans="1:17" ht="55.8" x14ac:dyDescent="0.45">
      <c r="A23" s="15"/>
      <c r="H23" s="35"/>
      <c r="I23" s="32" t="s">
        <v>15</v>
      </c>
      <c r="J23" s="32" t="s">
        <v>14</v>
      </c>
      <c r="K23" s="32" t="s">
        <v>16</v>
      </c>
      <c r="L23" s="32" t="s">
        <v>15</v>
      </c>
      <c r="M23" s="32" t="s">
        <v>14</v>
      </c>
      <c r="N23" s="32" t="s">
        <v>16</v>
      </c>
      <c r="O23" s="32" t="s">
        <v>15</v>
      </c>
      <c r="P23" s="32" t="s">
        <v>14</v>
      </c>
      <c r="Q23" s="32" t="s">
        <v>16</v>
      </c>
    </row>
    <row r="24" spans="1:17" x14ac:dyDescent="0.45">
      <c r="A24" s="15"/>
      <c r="H24" s="30">
        <v>500</v>
      </c>
      <c r="I24" s="29">
        <v>0.02</v>
      </c>
      <c r="J24" s="28">
        <v>0.01</v>
      </c>
      <c r="K24" s="28">
        <v>6.875E-3</v>
      </c>
      <c r="L24" s="29">
        <f t="shared" ref="L24:L29" si="0">$L$31*((H24/$H$31)^2)</f>
        <v>1.8124999999999999E-2</v>
      </c>
      <c r="M24" s="29">
        <f t="shared" ref="M24:M29" si="1">$M$31*((H24/$H$31)^2)</f>
        <v>1.359375E-2</v>
      </c>
      <c r="N24" s="29">
        <f t="shared" ref="N24:N29" si="2">$N$31*((H24/$H$31)^2)</f>
        <v>6.875E-3</v>
      </c>
      <c r="O24" s="36" t="s">
        <v>19</v>
      </c>
      <c r="P24" s="34">
        <f>1-(J24/$I24)</f>
        <v>0.5</v>
      </c>
      <c r="Q24" s="34">
        <f>1-(K24/$I24)</f>
        <v>0.65625</v>
      </c>
    </row>
    <row r="25" spans="1:17" x14ac:dyDescent="0.45">
      <c r="A25" s="15"/>
      <c r="H25" s="30">
        <v>1000</v>
      </c>
      <c r="I25" s="29">
        <v>7.0000000000000007E-2</v>
      </c>
      <c r="J25" s="28">
        <v>0.06</v>
      </c>
      <c r="K25" s="28">
        <v>2.75E-2</v>
      </c>
      <c r="L25" s="29">
        <f t="shared" si="0"/>
        <v>7.2499999999999995E-2</v>
      </c>
      <c r="M25" s="29">
        <f t="shared" si="1"/>
        <v>5.4375E-2</v>
      </c>
      <c r="N25" s="29">
        <f t="shared" si="2"/>
        <v>2.75E-2</v>
      </c>
      <c r="O25" s="37"/>
      <c r="P25" s="34">
        <f t="shared" ref="P25:P31" si="3">1-(J25/$I25)</f>
        <v>0.14285714285714302</v>
      </c>
      <c r="Q25" s="34">
        <f t="shared" ref="Q25:Q31" si="4">1-(K25/$I25)</f>
        <v>0.60714285714285721</v>
      </c>
    </row>
    <row r="26" spans="1:17" x14ac:dyDescent="0.45">
      <c r="A26" s="15"/>
      <c r="B26" s="16"/>
      <c r="H26" s="30">
        <v>1500</v>
      </c>
      <c r="I26" s="29">
        <v>0.16</v>
      </c>
      <c r="J26" s="28">
        <v>0.12</v>
      </c>
      <c r="K26" s="28">
        <v>6.1874999999999999E-2</v>
      </c>
      <c r="L26" s="29">
        <f t="shared" si="0"/>
        <v>0.16312499999999999</v>
      </c>
      <c r="M26" s="29">
        <f t="shared" si="1"/>
        <v>0.12234375</v>
      </c>
      <c r="N26" s="29">
        <f t="shared" si="2"/>
        <v>6.1874999999999999E-2</v>
      </c>
      <c r="O26" s="37"/>
      <c r="P26" s="34">
        <f t="shared" si="3"/>
        <v>0.25</v>
      </c>
      <c r="Q26" s="34">
        <f t="shared" si="4"/>
        <v>0.61328125</v>
      </c>
    </row>
    <row r="27" spans="1:17" x14ac:dyDescent="0.45">
      <c r="A27" s="15"/>
      <c r="H27" s="30">
        <v>2000</v>
      </c>
      <c r="I27" s="29">
        <v>0.28999999999999998</v>
      </c>
      <c r="J27" s="28">
        <v>0.22</v>
      </c>
      <c r="K27" s="28">
        <v>0.11</v>
      </c>
      <c r="L27" s="29">
        <f t="shared" si="0"/>
        <v>0.28999999999999998</v>
      </c>
      <c r="M27" s="29">
        <f t="shared" si="1"/>
        <v>0.2175</v>
      </c>
      <c r="N27" s="29">
        <f t="shared" si="2"/>
        <v>0.11</v>
      </c>
      <c r="O27" s="37"/>
      <c r="P27" s="34">
        <f t="shared" si="3"/>
        <v>0.24137931034482751</v>
      </c>
      <c r="Q27" s="34">
        <f t="shared" si="4"/>
        <v>0.6206896551724137</v>
      </c>
    </row>
    <row r="28" spans="1:17" x14ac:dyDescent="0.45">
      <c r="A28" s="15"/>
      <c r="B28" s="17"/>
      <c r="H28" s="30">
        <v>2500</v>
      </c>
      <c r="I28" s="29">
        <v>0.45</v>
      </c>
      <c r="J28" s="28">
        <v>0.34</v>
      </c>
      <c r="K28" s="28">
        <v>0.171875</v>
      </c>
      <c r="L28" s="29">
        <f t="shared" si="0"/>
        <v>0.45312499999999994</v>
      </c>
      <c r="M28" s="29">
        <f t="shared" si="1"/>
        <v>0.33984375</v>
      </c>
      <c r="N28" s="29">
        <f t="shared" si="2"/>
        <v>0.171875</v>
      </c>
      <c r="O28" s="37"/>
      <c r="P28" s="34">
        <f t="shared" si="3"/>
        <v>0.24444444444444446</v>
      </c>
      <c r="Q28" s="34">
        <f t="shared" si="4"/>
        <v>0.61805555555555558</v>
      </c>
    </row>
    <row r="29" spans="1:17" x14ac:dyDescent="0.45">
      <c r="A29" s="15"/>
      <c r="H29" s="30">
        <v>3000</v>
      </c>
      <c r="I29" s="29">
        <v>0.65</v>
      </c>
      <c r="J29" s="28">
        <v>0.49</v>
      </c>
      <c r="K29" s="28">
        <v>0.2475</v>
      </c>
      <c r="L29" s="29">
        <f t="shared" si="0"/>
        <v>0.65249999999999997</v>
      </c>
      <c r="M29" s="29">
        <f t="shared" si="1"/>
        <v>0.489375</v>
      </c>
      <c r="N29" s="29">
        <f t="shared" si="2"/>
        <v>0.2475</v>
      </c>
      <c r="O29" s="37"/>
      <c r="P29" s="34">
        <f t="shared" si="3"/>
        <v>0.24615384615384617</v>
      </c>
      <c r="Q29" s="34">
        <f t="shared" si="4"/>
        <v>0.61923076923076925</v>
      </c>
    </row>
    <row r="30" spans="1:17" x14ac:dyDescent="0.45">
      <c r="A30" s="15"/>
      <c r="H30" s="30">
        <v>3500</v>
      </c>
      <c r="I30" s="29">
        <v>0.89</v>
      </c>
      <c r="J30" s="28">
        <v>0.67</v>
      </c>
      <c r="K30" s="28">
        <v>0.33687499999999998</v>
      </c>
      <c r="L30" s="29">
        <f>$L$31*((H30/$H$31)^2)</f>
        <v>0.88812499999999994</v>
      </c>
      <c r="M30" s="29">
        <f>$M$31*((H30/$H$31)^2)</f>
        <v>0.66609375000000004</v>
      </c>
      <c r="N30" s="29">
        <f>$N$31*((H30/$H$31)^2)</f>
        <v>0.33687499999999998</v>
      </c>
      <c r="O30" s="37"/>
      <c r="P30" s="34">
        <f t="shared" si="3"/>
        <v>0.24719101123595499</v>
      </c>
      <c r="Q30" s="34">
        <f t="shared" si="4"/>
        <v>0.6214887640449438</v>
      </c>
    </row>
    <row r="31" spans="1:17" x14ac:dyDescent="0.45">
      <c r="A31" s="15"/>
      <c r="H31" s="30">
        <v>4000</v>
      </c>
      <c r="I31" s="29">
        <v>1.1599999999999999</v>
      </c>
      <c r="J31" s="28">
        <v>0.87</v>
      </c>
      <c r="K31" s="28">
        <v>0.44</v>
      </c>
      <c r="L31" s="31">
        <v>1.1599999999999999</v>
      </c>
      <c r="M31" s="33">
        <v>0.87</v>
      </c>
      <c r="N31" s="33">
        <v>0.44</v>
      </c>
      <c r="O31" s="37"/>
      <c r="P31" s="34">
        <f t="shared" si="3"/>
        <v>0.25</v>
      </c>
      <c r="Q31" s="34">
        <f t="shared" si="4"/>
        <v>0.6206896551724137</v>
      </c>
    </row>
    <row r="32" spans="1:17" x14ac:dyDescent="0.45">
      <c r="A32" s="15"/>
      <c r="H32" s="30"/>
      <c r="I32" s="29"/>
      <c r="J32" s="28"/>
    </row>
    <row r="33" spans="1:11" x14ac:dyDescent="0.45">
      <c r="A33" s="15"/>
      <c r="H33" s="30"/>
      <c r="I33" s="29"/>
      <c r="J33" s="28"/>
    </row>
    <row r="34" spans="1:11" x14ac:dyDescent="0.45">
      <c r="A34" s="15"/>
      <c r="H34" s="35" t="s">
        <v>12</v>
      </c>
      <c r="I34" s="35" t="s">
        <v>11</v>
      </c>
      <c r="J34" s="35"/>
      <c r="K34" s="35"/>
    </row>
    <row r="35" spans="1:11" ht="74.400000000000006" x14ac:dyDescent="0.45">
      <c r="A35" s="15"/>
      <c r="H35" s="35"/>
      <c r="I35" s="32" t="s">
        <v>22</v>
      </c>
      <c r="J35" s="32" t="s">
        <v>21</v>
      </c>
      <c r="K35" s="32" t="s">
        <v>20</v>
      </c>
    </row>
    <row r="36" spans="1:11" x14ac:dyDescent="0.45">
      <c r="A36" s="15"/>
      <c r="H36" s="30">
        <v>500</v>
      </c>
      <c r="I36" s="29">
        <f t="shared" ref="I36:I41" si="5">$I$43*((H36/$H$43)^2)</f>
        <v>3.90625E-2</v>
      </c>
      <c r="J36" s="29">
        <f t="shared" ref="J36:J41" si="6">$J$43*((H36/$H$43)^2)</f>
        <v>1.7187500000000001E-2</v>
      </c>
      <c r="K36" s="29">
        <f t="shared" ref="K36:K41" si="7">$K$43*((H36/$H$43)^2)</f>
        <v>6.875E-3</v>
      </c>
    </row>
    <row r="37" spans="1:11" x14ac:dyDescent="0.45">
      <c r="A37" s="15"/>
      <c r="H37" s="30">
        <v>1000</v>
      </c>
      <c r="I37" s="29">
        <f t="shared" si="5"/>
        <v>0.15625</v>
      </c>
      <c r="J37" s="29">
        <f t="shared" si="6"/>
        <v>6.8750000000000006E-2</v>
      </c>
      <c r="K37" s="29">
        <f t="shared" si="7"/>
        <v>2.75E-2</v>
      </c>
    </row>
    <row r="38" spans="1:11" x14ac:dyDescent="0.45">
      <c r="A38" s="15"/>
      <c r="H38" s="30">
        <v>1500</v>
      </c>
      <c r="I38" s="29">
        <f t="shared" si="5"/>
        <v>0.3515625</v>
      </c>
      <c r="J38" s="29">
        <f t="shared" si="6"/>
        <v>0.15468750000000001</v>
      </c>
      <c r="K38" s="29">
        <f t="shared" si="7"/>
        <v>6.1874999999999999E-2</v>
      </c>
    </row>
    <row r="39" spans="1:11" x14ac:dyDescent="0.45">
      <c r="A39" s="15"/>
      <c r="H39" s="30">
        <v>2000</v>
      </c>
      <c r="I39" s="29">
        <f t="shared" si="5"/>
        <v>0.625</v>
      </c>
      <c r="J39" s="29">
        <f t="shared" si="6"/>
        <v>0.27500000000000002</v>
      </c>
      <c r="K39" s="29">
        <f t="shared" si="7"/>
        <v>0.11</v>
      </c>
    </row>
    <row r="40" spans="1:11" ht="19.8" x14ac:dyDescent="0.45">
      <c r="A40" s="18"/>
      <c r="H40" s="30">
        <v>2500</v>
      </c>
      <c r="I40" s="29">
        <f t="shared" si="5"/>
        <v>0.9765625</v>
      </c>
      <c r="J40" s="29">
        <f t="shared" si="6"/>
        <v>0.42968750000000006</v>
      </c>
      <c r="K40" s="29">
        <f t="shared" si="7"/>
        <v>0.171875</v>
      </c>
    </row>
    <row r="41" spans="1:11" x14ac:dyDescent="0.45">
      <c r="A41" s="15"/>
      <c r="H41" s="30">
        <v>3000</v>
      </c>
      <c r="I41" s="29">
        <f t="shared" si="5"/>
        <v>1.40625</v>
      </c>
      <c r="J41" s="29">
        <f t="shared" si="6"/>
        <v>0.61875000000000002</v>
      </c>
      <c r="K41" s="29">
        <f t="shared" si="7"/>
        <v>0.2475</v>
      </c>
    </row>
    <row r="42" spans="1:11" x14ac:dyDescent="0.45">
      <c r="A42" s="19"/>
      <c r="H42" s="30">
        <v>3500</v>
      </c>
      <c r="I42" s="29">
        <f>$I$43*((H42/$H$43)^2)</f>
        <v>1.9140625</v>
      </c>
      <c r="J42" s="29">
        <f>$J$43*((H42/$H$43)^2)</f>
        <v>0.84218750000000009</v>
      </c>
      <c r="K42" s="29">
        <f>$K$43*((H42/$H$43)^2)</f>
        <v>0.33687499999999998</v>
      </c>
    </row>
    <row r="43" spans="1:11" x14ac:dyDescent="0.45">
      <c r="H43" s="30">
        <v>4000</v>
      </c>
      <c r="I43" s="33">
        <v>2.5</v>
      </c>
      <c r="J43" s="33">
        <v>1.1000000000000001</v>
      </c>
      <c r="K43" s="33">
        <v>0.44</v>
      </c>
    </row>
    <row r="45" spans="1:11" x14ac:dyDescent="0.45">
      <c r="A45" s="15"/>
      <c r="B45" s="20"/>
      <c r="C45" s="21"/>
    </row>
    <row r="46" spans="1:11" x14ac:dyDescent="0.45">
      <c r="A46" s="15"/>
      <c r="B46" s="20"/>
      <c r="C46" s="21"/>
    </row>
    <row r="47" spans="1:11" x14ac:dyDescent="0.45">
      <c r="A47" s="15"/>
      <c r="B47" s="20"/>
      <c r="C47" s="21"/>
    </row>
    <row r="48" spans="1:11" x14ac:dyDescent="0.45">
      <c r="A48" s="15"/>
      <c r="B48" s="22"/>
      <c r="C48" s="21"/>
    </row>
    <row r="49" spans="1:3" x14ac:dyDescent="0.45">
      <c r="A49" s="15"/>
      <c r="B49" s="20"/>
      <c r="C49" s="21"/>
    </row>
    <row r="50" spans="1:3" x14ac:dyDescent="0.45">
      <c r="A50" s="15"/>
      <c r="C50" s="21"/>
    </row>
    <row r="51" spans="1:3" x14ac:dyDescent="0.45">
      <c r="A51" s="15"/>
      <c r="C51" s="21"/>
    </row>
  </sheetData>
  <mergeCells count="7">
    <mergeCell ref="O22:Q22"/>
    <mergeCell ref="O24:O31"/>
    <mergeCell ref="H34:H35"/>
    <mergeCell ref="I34:K34"/>
    <mergeCell ref="I22:K22"/>
    <mergeCell ref="H22:H23"/>
    <mergeCell ref="L22:N22"/>
  </mergeCells>
  <phoneticPr fontId="2" type="noConversion"/>
  <pageMargins left="0.75" right="0.75" top="1" bottom="1" header="0.5" footer="0.5"/>
  <pageSetup scale="61" orientation="landscape" r:id="rId1"/>
  <headerFooter alignWithMargins="0">
    <oddFooter>&amp;LPage &amp;P of &amp;N of Sheet &amp;A of File &amp;F
Printed on &amp;D at &amp;T
DAS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Cost Benefit</vt:lpstr>
      <vt:lpstr>Data</vt:lpstr>
      <vt:lpstr>Damper Comparison</vt:lpstr>
      <vt:lpstr>Damper Comparison Curve Fit</vt:lpstr>
      <vt:lpstr>Different inlet and outlet</vt:lpstr>
      <vt:lpstr>Print_Titles</vt:lpstr>
    </vt:vector>
  </TitlesOfParts>
  <Company>Dell - Personal Systems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2002-10-15T18:30:13Z</dcterms:created>
  <dcterms:modified xsi:type="dcterms:W3CDTF">2023-04-26T00:18:30Z</dcterms:modified>
</cp:coreProperties>
</file>