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D:\FDE Tools\EBCx Cost Benefit Assessment and Findings List Tool\Cost Benefit and Energy Analysis Tools\"/>
    </mc:Choice>
  </mc:AlternateContent>
  <xr:revisionPtr revIDLastSave="0" documentId="8_{0AD18CAC-1534-4BCF-8944-B5D8A4ABBFB2}" xr6:coauthVersionLast="47" xr6:coauthVersionMax="47" xr10:uidLastSave="{00000000-0000-0000-0000-000000000000}"/>
  <bookViews>
    <workbookView xWindow="-96" yWindow="-96" windowWidth="23232" windowHeight="12552" xr2:uid="{00000000-000D-0000-FFFF-FFFF00000000}"/>
  </bookViews>
  <sheets>
    <sheet name="Instructions" sheetId="6" r:id="rId1"/>
    <sheet name="Initial Cost-Benefit Assessment" sheetId="5" r:id="rId2"/>
    <sheet name="Working Table" sheetId="2" r:id="rId3"/>
  </sheets>
  <externalReferences>
    <externalReference r:id="rId4"/>
    <externalReference r:id="rId5"/>
  </externalReferences>
  <definedNames>
    <definedName name="_xlnm.Print_Area" localSheetId="2">'Working Table'!$B$20:$AD$36</definedName>
    <definedName name="_xlnm.Print_Area">#REF!</definedName>
    <definedName name="_xlnm.Print_Titles" localSheetId="2">'Working Table'!$B:$C,'Working Table'!$20:$23</definedName>
    <definedName name="_xlnm.Print_Titl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5" i="5" l="1"/>
  <c r="B53" i="5"/>
  <c r="B52" i="5"/>
  <c r="B23" i="5"/>
  <c r="B22" i="5"/>
  <c r="B20" i="5"/>
  <c r="B19" i="5"/>
  <c r="B18" i="5"/>
  <c r="D12" i="2"/>
  <c r="D10" i="2"/>
  <c r="B17" i="5" s="1"/>
  <c r="D9" i="2"/>
  <c r="C52" i="5" l="1"/>
  <c r="C55" i="5"/>
  <c r="F36" i="2"/>
  <c r="G36" i="2"/>
  <c r="D36" i="2"/>
  <c r="I36" i="2"/>
  <c r="H36" i="2"/>
  <c r="G32" i="2"/>
  <c r="K32" i="2" s="1"/>
  <c r="F32" i="2"/>
  <c r="J32" i="2" s="1"/>
  <c r="G31" i="2"/>
  <c r="K31" i="2" s="1"/>
  <c r="F31" i="2"/>
  <c r="J31" i="2" s="1"/>
  <c r="G30" i="2"/>
  <c r="K30" i="2" s="1"/>
  <c r="F30" i="2"/>
  <c r="J30" i="2" s="1"/>
  <c r="G29" i="2"/>
  <c r="K29" i="2" s="1"/>
  <c r="F29" i="2"/>
  <c r="J29" i="2" s="1"/>
  <c r="G28" i="2"/>
  <c r="K28" i="2" s="1"/>
  <c r="F28" i="2"/>
  <c r="J28" i="2" s="1"/>
  <c r="G27" i="2"/>
  <c r="K27" i="2" s="1"/>
  <c r="F27" i="2"/>
  <c r="J27" i="2" s="1"/>
  <c r="G26" i="2"/>
  <c r="K26" i="2" s="1"/>
  <c r="F26" i="2"/>
  <c r="J26" i="2" s="1"/>
  <c r="G25" i="2"/>
  <c r="K25" i="2" s="1"/>
  <c r="F25" i="2"/>
  <c r="J25" i="2" s="1"/>
  <c r="G24" i="2"/>
  <c r="K24" i="2" s="1"/>
  <c r="F24" i="2"/>
  <c r="J24" i="2" s="1"/>
  <c r="W35" i="2"/>
  <c r="U35" i="2"/>
  <c r="Q35" i="2"/>
  <c r="O35" i="2"/>
  <c r="D35" i="2" s="1"/>
  <c r="W34" i="2"/>
  <c r="U34" i="2"/>
  <c r="Q34" i="2"/>
  <c r="O34" i="2"/>
  <c r="D34" i="2" s="1"/>
  <c r="W33" i="2"/>
  <c r="U33" i="2"/>
  <c r="Q33" i="2"/>
  <c r="O33" i="2"/>
  <c r="D33" i="2" s="1"/>
  <c r="W32" i="2"/>
  <c r="U32" i="2"/>
  <c r="Q32" i="2"/>
  <c r="O32" i="2"/>
  <c r="D32" i="2" s="1"/>
  <c r="M32" i="2" s="1"/>
  <c r="W31" i="2"/>
  <c r="U31" i="2"/>
  <c r="Q31" i="2"/>
  <c r="O31" i="2"/>
  <c r="D31" i="2" s="1"/>
  <c r="W30" i="2"/>
  <c r="U30" i="2"/>
  <c r="Q30" i="2"/>
  <c r="O30" i="2"/>
  <c r="D30" i="2" s="1"/>
  <c r="M30" i="2" s="1"/>
  <c r="W29" i="2"/>
  <c r="U29" i="2"/>
  <c r="Q29" i="2"/>
  <c r="O29" i="2"/>
  <c r="D29" i="2" s="1"/>
  <c r="W28" i="2"/>
  <c r="U28" i="2"/>
  <c r="Q28" i="2"/>
  <c r="O28" i="2"/>
  <c r="D28" i="2" s="1"/>
  <c r="M28" i="2" s="1"/>
  <c r="W27" i="2"/>
  <c r="U27" i="2"/>
  <c r="Q27" i="2"/>
  <c r="O27" i="2"/>
  <c r="D27" i="2" s="1"/>
  <c r="W26" i="2"/>
  <c r="U26" i="2"/>
  <c r="Q26" i="2"/>
  <c r="O26" i="2"/>
  <c r="D26" i="2" s="1"/>
  <c r="M26" i="2" s="1"/>
  <c r="W25" i="2"/>
  <c r="U25" i="2"/>
  <c r="Q25" i="2"/>
  <c r="O25" i="2"/>
  <c r="D25" i="2" s="1"/>
  <c r="E25" i="2" l="1"/>
  <c r="E27" i="2"/>
  <c r="L27" i="2" s="1"/>
  <c r="E29" i="2"/>
  <c r="E31" i="2"/>
  <c r="L31" i="2" s="1"/>
  <c r="E33" i="2"/>
  <c r="E35" i="2"/>
  <c r="E26" i="2"/>
  <c r="L26" i="2" s="1"/>
  <c r="E28" i="2"/>
  <c r="L28" i="2" s="1"/>
  <c r="E30" i="2"/>
  <c r="L30" i="2" s="1"/>
  <c r="E32" i="2"/>
  <c r="L32" i="2" s="1"/>
  <c r="E34" i="2"/>
  <c r="F35" i="2"/>
  <c r="J35" i="2" s="1"/>
  <c r="M25" i="2"/>
  <c r="M27" i="2"/>
  <c r="M29" i="2"/>
  <c r="M31" i="2"/>
  <c r="L25" i="2"/>
  <c r="L29" i="2"/>
  <c r="G35" i="2"/>
  <c r="K35" i="2" s="1"/>
  <c r="M35" i="2" s="1"/>
  <c r="C32" i="5"/>
  <c r="B32" i="5"/>
  <c r="B56" i="5"/>
  <c r="K58" i="5"/>
  <c r="B16" i="5"/>
  <c r="K6" i="5"/>
  <c r="E98" i="5"/>
  <c r="B98" i="5"/>
  <c r="E92" i="5"/>
  <c r="B92" i="5"/>
  <c r="B102" i="5" s="1"/>
  <c r="E81" i="5"/>
  <c r="B81" i="5"/>
  <c r="E75" i="5"/>
  <c r="E76" i="5" s="1"/>
  <c r="B75" i="5"/>
  <c r="B76" i="5" s="1"/>
  <c r="C38" i="5"/>
  <c r="B38" i="5" s="1"/>
  <c r="O24" i="2"/>
  <c r="U24" i="2"/>
  <c r="Q24" i="2"/>
  <c r="W24" i="2"/>
  <c r="A10" i="2"/>
  <c r="A11" i="2" s="1"/>
  <c r="A12" i="2" s="1"/>
  <c r="A13" i="2" s="1"/>
  <c r="A14" i="2" s="1"/>
  <c r="L35" i="2" l="1"/>
  <c r="E85" i="5"/>
  <c r="B85" i="5"/>
  <c r="E102" i="5"/>
  <c r="E36" i="2"/>
  <c r="B59" i="5"/>
  <c r="E24" i="2"/>
  <c r="D24" i="2"/>
  <c r="C28" i="5"/>
  <c r="C33" i="5"/>
  <c r="C34" i="5" s="1"/>
  <c r="B33" i="5"/>
  <c r="B34" i="5" s="1"/>
  <c r="S41" i="2"/>
  <c r="E93" i="5"/>
  <c r="B93" i="5"/>
  <c r="C27" i="5"/>
  <c r="F34" i="2" l="1"/>
  <c r="J34" i="2" s="1"/>
  <c r="L34" i="2" s="1"/>
  <c r="M24" i="2"/>
  <c r="G33" i="2"/>
  <c r="K33" i="2" s="1"/>
  <c r="F33" i="2"/>
  <c r="J33" i="2" s="1"/>
  <c r="G34" i="2"/>
  <c r="K34" i="2" s="1"/>
  <c r="M34" i="2" s="1"/>
  <c r="L24" i="2"/>
  <c r="C29" i="5"/>
  <c r="B39" i="5" s="1"/>
  <c r="C59" i="5"/>
  <c r="S40" i="2"/>
  <c r="B40" i="5" l="1"/>
  <c r="B42" i="5" s="1"/>
  <c r="J36" i="2"/>
  <c r="L36" i="2" s="1"/>
  <c r="L33" i="2"/>
  <c r="K36" i="2"/>
  <c r="M36" i="2" s="1"/>
  <c r="M33" i="2"/>
  <c r="C30" i="5"/>
  <c r="C39" i="5"/>
  <c r="B66" i="5"/>
  <c r="D66" i="5"/>
  <c r="B60" i="5"/>
  <c r="B43" i="5" l="1"/>
  <c r="B45" i="5" s="1"/>
  <c r="B44" i="5" s="1"/>
  <c r="C50" i="5" s="1"/>
  <c r="C42" i="5"/>
  <c r="B41" i="5"/>
  <c r="C66" i="5"/>
  <c r="B49" i="5"/>
  <c r="B61" i="5"/>
  <c r="C49" i="5"/>
  <c r="B54" i="5"/>
  <c r="C60" i="5"/>
  <c r="E66" i="5"/>
  <c r="B50" i="5" l="1"/>
  <c r="B51" i="5" s="1"/>
  <c r="B62" i="5"/>
  <c r="B67" i="5" s="1"/>
  <c r="D67" i="5" s="1"/>
  <c r="D68" i="5" s="1"/>
  <c r="B57" i="5"/>
  <c r="C43" i="5"/>
  <c r="C45" i="5" s="1"/>
  <c r="C44" i="5" s="1"/>
  <c r="E50" i="5" s="1"/>
  <c r="C54" i="5"/>
  <c r="D49" i="5"/>
  <c r="C61" i="5"/>
  <c r="E49" i="5"/>
  <c r="C51" i="5"/>
  <c r="C57" i="5" l="1"/>
  <c r="D50" i="5"/>
  <c r="C62" i="5"/>
  <c r="C67" i="5"/>
  <c r="E67" i="5" s="1"/>
  <c r="E68" i="5" s="1"/>
  <c r="B68" i="5"/>
  <c r="C91" i="5"/>
  <c r="D91" i="5" s="1"/>
  <c r="F94" i="5"/>
  <c r="G94" i="5" s="1"/>
  <c r="F92" i="5"/>
  <c r="G92" i="5" s="1"/>
  <c r="F97" i="5"/>
  <c r="G97" i="5" s="1"/>
  <c r="C94" i="5"/>
  <c r="D94" i="5" s="1"/>
  <c r="C100" i="5"/>
  <c r="D100" i="5" s="1"/>
  <c r="C98" i="5"/>
  <c r="D98" i="5" s="1"/>
  <c r="F91" i="5"/>
  <c r="G91" i="5" s="1"/>
  <c r="C93" i="5"/>
  <c r="D93" i="5" s="1"/>
  <c r="F93" i="5"/>
  <c r="G93" i="5" s="1"/>
  <c r="F95" i="5"/>
  <c r="G95" i="5" s="1"/>
  <c r="F98" i="5"/>
  <c r="G98" i="5" s="1"/>
  <c r="C99" i="5"/>
  <c r="D99" i="5" s="1"/>
  <c r="C96" i="5"/>
  <c r="D96" i="5" s="1"/>
  <c r="F100" i="5"/>
  <c r="G100" i="5" s="1"/>
  <c r="F96" i="5"/>
  <c r="G96" i="5" s="1"/>
  <c r="C97" i="5"/>
  <c r="D97" i="5" s="1"/>
  <c r="C92" i="5"/>
  <c r="D92" i="5" s="1"/>
  <c r="C95" i="5"/>
  <c r="D95" i="5" s="1"/>
  <c r="F99" i="5"/>
  <c r="G99" i="5" s="1"/>
  <c r="E51" i="5"/>
  <c r="D51" i="5"/>
  <c r="C68" i="5" l="1"/>
  <c r="C82" i="5"/>
  <c r="D82" i="5" s="1"/>
  <c r="C81" i="5"/>
  <c r="D81" i="5" s="1"/>
  <c r="F79" i="5"/>
  <c r="G79" i="5" s="1"/>
  <c r="C77" i="5"/>
  <c r="D77" i="5" s="1"/>
  <c r="F80" i="5"/>
  <c r="G80" i="5" s="1"/>
  <c r="F81" i="5"/>
  <c r="G81" i="5" s="1"/>
  <c r="F102" i="5"/>
  <c r="F77" i="5"/>
  <c r="G77" i="5" s="1"/>
  <c r="F74" i="5"/>
  <c r="G74" i="5" s="1"/>
  <c r="C80" i="5"/>
  <c r="D80" i="5" s="1"/>
  <c r="C74" i="5"/>
  <c r="D74" i="5" s="1"/>
  <c r="F78" i="5"/>
  <c r="G78" i="5" s="1"/>
  <c r="F83" i="5"/>
  <c r="G83" i="5" s="1"/>
  <c r="F76" i="5"/>
  <c r="G76" i="5" s="1"/>
  <c r="C102" i="5"/>
  <c r="C83" i="5"/>
  <c r="D83" i="5" s="1"/>
  <c r="C75" i="5"/>
  <c r="D75" i="5" s="1"/>
  <c r="C79" i="5"/>
  <c r="C76" i="5"/>
  <c r="D76" i="5" s="1"/>
  <c r="F75" i="5"/>
  <c r="G75" i="5" s="1"/>
  <c r="C78" i="5"/>
  <c r="D78" i="5" s="1"/>
  <c r="F82" i="5"/>
  <c r="G82" i="5" s="1"/>
  <c r="F85" i="5" l="1"/>
  <c r="D79" i="5"/>
  <c r="C85" i="5"/>
</calcChain>
</file>

<file path=xl/sharedStrings.xml><?xml version="1.0" encoding="utf-8"?>
<sst xmlns="http://schemas.openxmlformats.org/spreadsheetml/2006/main" count="343" uniqueCount="185">
  <si>
    <t xml:space="preserve">Project Name: </t>
  </si>
  <si>
    <t xml:space="preserve">Project Number: </t>
  </si>
  <si>
    <t xml:space="preserve">Engineer: </t>
  </si>
  <si>
    <t>Assumptions</t>
  </si>
  <si>
    <t>Date:</t>
  </si>
  <si>
    <t>Facility Dynamics Headquarters  - 6760 Alexander Bell Drive,  Suite 200,  Columbia, MD 21046, Phone: (410) 290-0900;  www.facilitydynamics.com</t>
  </si>
  <si>
    <t>Facility Dynamics Satellite Location  - 8560 North Buchanan Avenue,  Portland, Oregon 97203, Phone: ;  www.facilitydynamics.com</t>
  </si>
  <si>
    <t>Number</t>
  </si>
  <si>
    <t>Brief Description</t>
  </si>
  <si>
    <t>Electricity</t>
  </si>
  <si>
    <t xml:space="preserve">Electric rate = </t>
  </si>
  <si>
    <t xml:space="preserve">Water rate = </t>
  </si>
  <si>
    <t>kWh savings</t>
  </si>
  <si>
    <t>Low end</t>
  </si>
  <si>
    <t>High end</t>
  </si>
  <si>
    <t>kWh</t>
  </si>
  <si>
    <t>$</t>
  </si>
  <si>
    <t>kW savings</t>
  </si>
  <si>
    <t>Low End</t>
  </si>
  <si>
    <t>High End</t>
  </si>
  <si>
    <t>Gas</t>
  </si>
  <si>
    <t>Therm Savings</t>
  </si>
  <si>
    <t>Therm</t>
  </si>
  <si>
    <t>Therms</t>
  </si>
  <si>
    <t>Other Savings</t>
  </si>
  <si>
    <t xml:space="preserve">Amount </t>
  </si>
  <si>
    <t>Units</t>
  </si>
  <si>
    <t>$ per kWh</t>
  </si>
  <si>
    <t>$ per therm</t>
  </si>
  <si>
    <t>Total Savings  $</t>
  </si>
  <si>
    <t>TOTALS</t>
  </si>
  <si>
    <t>Implementation Cost Projections, $</t>
  </si>
  <si>
    <t>NOTES</t>
  </si>
  <si>
    <t xml:space="preserve">Steam rate = </t>
  </si>
  <si>
    <t xml:space="preserve">Steam thermal content = </t>
  </si>
  <si>
    <t>btu/pound</t>
  </si>
  <si>
    <t>Working Table</t>
  </si>
  <si>
    <t>To Be Determined</t>
  </si>
  <si>
    <t>N/A</t>
  </si>
  <si>
    <t>Electricity - kWh/$ per year</t>
  </si>
  <si>
    <t>Thermal at the Central Plant - Therms/$ per year</t>
  </si>
  <si>
    <t>Energy</t>
  </si>
  <si>
    <t>TOTAL</t>
  </si>
  <si>
    <t>$ per year</t>
  </si>
  <si>
    <t xml:space="preserve">Electric rate - </t>
  </si>
  <si>
    <t xml:space="preserve">Thermal energy rate - </t>
  </si>
  <si>
    <t xml:space="preserve">Electrical incentive - </t>
  </si>
  <si>
    <t xml:space="preserve">Thermal incentive - </t>
  </si>
  <si>
    <t xml:space="preserve">Building square footage - </t>
  </si>
  <si>
    <t xml:space="preserve">LBNL Cx Cost Benefit Median Energy Savings (2009 update) - </t>
  </si>
  <si>
    <t xml:space="preserve">Potential savings range for the purposes of our discussion - </t>
  </si>
  <si>
    <t xml:space="preserve">Potential annual savings - </t>
  </si>
  <si>
    <t xml:space="preserve">Potential electrical savings - </t>
  </si>
  <si>
    <t xml:space="preserve">Potential thermal savings - </t>
  </si>
  <si>
    <t xml:space="preserve">Potential electrical incentive - </t>
  </si>
  <si>
    <t xml:space="preserve">Potential thermal incentive - </t>
  </si>
  <si>
    <t>kWh per year</t>
  </si>
  <si>
    <t>Therms per year</t>
  </si>
  <si>
    <t xml:space="preserve">Potential electrical savings already identified - </t>
  </si>
  <si>
    <t xml:space="preserve">% of potential electrical savings - </t>
  </si>
  <si>
    <t xml:space="preserve">% of potential thermal savings - </t>
  </si>
  <si>
    <t xml:space="preserve">Potential thermal savings already identified - </t>
  </si>
  <si>
    <t xml:space="preserve">Total savings already identified - </t>
  </si>
  <si>
    <t>Expenditure Justified by Anticipated Savings</t>
  </si>
  <si>
    <t xml:space="preserve">Simple payback time frame - </t>
  </si>
  <si>
    <t xml:space="preserve">Energy savings after the indicated interval, 2013 $ - </t>
  </si>
  <si>
    <t xml:space="preserve">Incentive, 2013 $ - </t>
  </si>
  <si>
    <t xml:space="preserve">Total, 2013 $ - </t>
  </si>
  <si>
    <t>years</t>
  </si>
  <si>
    <t xml:space="preserve">Savings range - </t>
  </si>
  <si>
    <t>Project Budget based on Past Project Metrics</t>
  </si>
  <si>
    <t>Item</t>
  </si>
  <si>
    <t>% of Total</t>
  </si>
  <si>
    <t>Project Technical Support</t>
  </si>
  <si>
    <t>Capital Projects</t>
  </si>
  <si>
    <t>Physical Plant</t>
  </si>
  <si>
    <t>Construction/Contractors</t>
  </si>
  <si>
    <t>Contingency</t>
  </si>
  <si>
    <t>Metering</t>
  </si>
  <si>
    <t>FDE Scoping</t>
  </si>
  <si>
    <t>FDE Implementation</t>
  </si>
  <si>
    <t>FDE TOTAL</t>
  </si>
  <si>
    <t>TOTAL - Project Technical Support</t>
  </si>
  <si>
    <t>Contractor Intensive (Le Conte ECM Basis)</t>
  </si>
  <si>
    <t>Non-Contractor Intensive (Le Conte MBCx Basis)</t>
  </si>
  <si>
    <t>5 Year Simple Payback, Average Savings</t>
  </si>
  <si>
    <t>Check</t>
  </si>
  <si>
    <t>% of LBNL based projection</t>
  </si>
  <si>
    <t>MBCx/EBCx Project Cost Benefit Assessment from Scoping Phase Data and Industry Metrics</t>
  </si>
  <si>
    <t>Project Energy Metrics - Source as indicated</t>
  </si>
  <si>
    <t>Savings Projection Based on the LBNL Cost Benefit Study</t>
  </si>
  <si>
    <t>$/sq.ft.</t>
  </si>
  <si>
    <t>High end set from metric above, low end set at 62.5% of the high end to create a range; either could be set manually instead.</t>
  </si>
  <si>
    <t xml:space="preserve">Potential non-energy savings already identified - </t>
  </si>
  <si>
    <t>This is where you enter the simple payback range that is acceptable to the Owner</t>
  </si>
  <si>
    <t>10 Year Simple Payback, Average Savings</t>
  </si>
  <si>
    <t>This spreadsheet projects what an acceptable budget might be for an MBCx/EBCx project based on the anticipated savings and incentives.   The anticipated savings are derived from current utility data and the metrics contained in the LBNL Commissioning Cost/Benefit Studies.   Links to the studies are provided below.</t>
  </si>
  <si>
    <t>LBNL Report</t>
  </si>
  <si>
    <t>Summary</t>
  </si>
  <si>
    <t>Full Report</t>
  </si>
  <si>
    <t>http://cx.lbl.gov/2004-assessment.html</t>
  </si>
  <si>
    <t>http://evanmills.lbl.gov/pubs/pdf/cx-costs-benefits.pdf</t>
  </si>
  <si>
    <t>http://cx.lbl.gov/2009-assessment.html</t>
  </si>
  <si>
    <t>http://cx.lbl.gov/documents/2009-assessment/lbnl-cx-cost-benefit.pdf</t>
  </si>
  <si>
    <r>
      <rPr>
        <i/>
        <sz val="12"/>
        <rFont val="Comic Sans MS"/>
        <family val="4"/>
      </rPr>
      <t>Building Commissioning;  A Golden Opportunity for Reducing Energy Costs and Greenhouse Gas Emissions</t>
    </r>
    <r>
      <rPr>
        <sz val="12"/>
        <rFont val="Comic Sans MS"/>
        <family val="4"/>
      </rPr>
      <t xml:space="preserve"> (July 21, 2009 Update)</t>
    </r>
  </si>
  <si>
    <r>
      <rPr>
        <i/>
        <sz val="12"/>
        <rFont val="Comic Sans MS"/>
        <family val="4"/>
      </rPr>
      <t>The Cost-Effectiveness of Commercial-Buildings Commissioning</t>
    </r>
    <r>
      <rPr>
        <sz val="12"/>
        <rFont val="Comic Sans MS"/>
        <family val="4"/>
      </rPr>
      <t xml:space="preserve"> (Original December 15, 2004 Assessment)</t>
    </r>
  </si>
  <si>
    <t>http://cx.lbl.gov/mbcx.html</t>
  </si>
  <si>
    <t>http://evanmills.lbl.gov/pubs/pdf/MBCx-LBNL.pdf</t>
  </si>
  <si>
    <t>Monitoring-Based Commissioning: Benchmarking Analysis of 24 UC/CSU/IOU Projects (Focus on MBCx only projects)</t>
  </si>
  <si>
    <t xml:space="preserve">of Whole Building Energy Consumption. </t>
  </si>
  <si>
    <t>Cells with the light blue highlighting contain information regarding what the other shaded cells are used for and/or what they mean and how you might go about filling them in.</t>
  </si>
  <si>
    <t>Cells with the yellow highlighting and the red boarders are the "answers"</t>
  </si>
  <si>
    <t>Remember that the results you get are only as good as the inputs and event then are an approximation at best.  Before you use them, do a quick sanity check somehow to make sure they make sense, especially if you have edited anything because that might affect the formulas.</t>
  </si>
  <si>
    <t>Annual Consumption - From a  baseline report, utility bills, utility meters, etc.</t>
  </si>
  <si>
    <t>This is the median value reported for existing building commissioning in the 2009 update to the original report.  If you look at the report that focuses on MBCx only projects, the savings range was quite broad;  2 to 25%.  So I used this number because it is in the middle of that range, it is citable, and it is consistent with my personal experience over the years.  Generally, it should be a good default. 
But it could also be set based on past experience with other projects, especially other projects at a certain location or with a certain client.  Or it could be tuned to a specific building type from data in the LBNL reports.</t>
  </si>
  <si>
    <t>These figures are calculated from other parameters in the spreadsheet.  For programs that have no utility incentives, they will be zero.</t>
  </si>
  <si>
    <t>These figures are calculated from other parameters in the spreadsheet.  In general terms, they reverse engineer a budget based on the Owner's acceptable simple payback parameters.  If there are utility incentives, they are added to the energy savings based budget, meaning the simple payback will be achieved after the incentives are subtracted from the over-all project costs.</t>
  </si>
  <si>
    <t>The budget dollars and $/sq.ft. parameters here are calculated based on other parameters in the spreadsheet.   The percentages used to prorate the budget and the categories shown are based on two projects where I had access to the full budget information (I kind of wasn't supposed to so we should not exactly advertise that).  They are representative of our experience with the UCB MBCx program and probably are not a bad way to assess other similar programs.  
For other projects and clients, you may need to add different budget components or change the percentages allocated to various items.  If you do that, be aware that some of the percentages are calculated from others based on what was known and what was unknown for the UCB work.  Specifically, the non-highlighted cells are calculated from the highlighted cells.  
So, if you make changes, be sure that everything adds up.  That is the purpose of the check row.  The numbers there should match the bottom line in the table.  
Of course, your edits could affect that to so verify your formulas if you start editing.</t>
  </si>
  <si>
    <t>The Cost Benefit Discussion tab contains images showing how we endeavored to use this information in a proposal for a UC Berkeley project to frame our fee in the context of the Owner's payback metrics and project goals.</t>
  </si>
  <si>
    <t>Steam conversion</t>
  </si>
  <si>
    <t xml:space="preserve">Meter reading - </t>
  </si>
  <si>
    <t>Btu/lb</t>
  </si>
  <si>
    <t>Plant efficiency</t>
  </si>
  <si>
    <t>lb of steam for 2012 (from Obvious)</t>
  </si>
  <si>
    <t>Btu/lb (campus conversion standard)</t>
  </si>
  <si>
    <t>(Campus over-all plant efficiency standard)</t>
  </si>
  <si>
    <t>Btu/therm</t>
  </si>
  <si>
    <t>$ per square foot per year</t>
  </si>
  <si>
    <t xml:space="preserve">Source = </t>
  </si>
  <si>
    <t>..\..\..\..\..\ComIT\Project Data\UCB_MinorAddtn\Rons Report\Minor Addition ECM Implementation Recommendation Report (October 9, 2013).pdf</t>
  </si>
  <si>
    <t>EUI Factors</t>
  </si>
  <si>
    <t>Thermal Energy</t>
  </si>
  <si>
    <t>Total</t>
  </si>
  <si>
    <t>Electrical Energy</t>
  </si>
  <si>
    <t>Site Energy</t>
  </si>
  <si>
    <t>Source Energy</t>
  </si>
  <si>
    <t xml:space="preserve">Site energy electrical energy conversion factor - </t>
  </si>
  <si>
    <t>Btu/kWh</t>
  </si>
  <si>
    <t xml:space="preserve">Source energy electrical energy conversion factor - </t>
  </si>
  <si>
    <t>Btu/Kwh</t>
  </si>
  <si>
    <t xml:space="preserve">Source energy thermal energy conversion factor - </t>
  </si>
  <si>
    <t>Therms at the well head per therm delivered</t>
  </si>
  <si>
    <t>kBtu/sq.ft./yr.</t>
  </si>
  <si>
    <t>Projected EUIs Post Implementation</t>
  </si>
  <si>
    <t>None</t>
  </si>
  <si>
    <t xml:space="preserve">Gas rate = </t>
  </si>
  <si>
    <t xml:space="preserve">Electrical incentive = </t>
  </si>
  <si>
    <t xml:space="preserve">Thermal incentive = </t>
  </si>
  <si>
    <t>per kWh</t>
  </si>
  <si>
    <t>per therm</t>
  </si>
  <si>
    <t>Incentive, $</t>
  </si>
  <si>
    <t>Implementation Cost After Incentives, $</t>
  </si>
  <si>
    <t>Simple Payback Range After Incentives, Years</t>
  </si>
  <si>
    <t>Notes</t>
  </si>
  <si>
    <t>Enter data in to the columns with a yellow header for each finding as it is developed and the rest of the columns should calculate accordingly</t>
  </si>
  <si>
    <t>$/kWh - Link to the cell with the correct metric in the working table - Just needs to be reasonable and representative of current rates</t>
  </si>
  <si>
    <t>$ per therm - Ditto above</t>
  </si>
  <si>
    <t>$ per kWh - Ditto above;  Non-utility program driven projects will not have this.</t>
  </si>
  <si>
    <t>$ per therm - Ditto above;  Non-utility program driven projects will not have this.</t>
  </si>
  <si>
    <t xml:space="preserve">Second Version - October </t>
  </si>
  <si>
    <t>Cells with the light green highlighting are cells that you might want to modify depending on the specifics of your project, the incentive program, if any, your building type, etc.</t>
  </si>
  <si>
    <t>Cells with the light yellow highlighting are cells that you would need to fill in with project specific information to get meaningful results.  Some can ro should be linked as noted</t>
  </si>
  <si>
    <t>Cross-check this with any other EUI you might have calculated.  The should agree</t>
  </si>
  <si>
    <t>Average kWh per year from the findings list</t>
  </si>
  <si>
    <t>Average $ per year from the findings list</t>
  </si>
  <si>
    <t>Average therms per year from the findings list</t>
  </si>
  <si>
    <t xml:space="preserve">Percentage of the annual savings to be allocated electricity - </t>
  </si>
  <si>
    <t xml:space="preserve">Percentage of the annual savings to be allocated to thermal - </t>
  </si>
  <si>
    <t>David</t>
  </si>
  <si>
    <t xml:space="preserve">Source - </t>
  </si>
  <si>
    <t>..\Utility Data\SFOBG Utilities 2016.xlsx</t>
  </si>
  <si>
    <t>$ per gallon</t>
  </si>
  <si>
    <t>EnergyStart Portfolio Manager Source Energy Technical Reference</t>
  </si>
  <si>
    <t>Hyperlink to Source</t>
  </si>
  <si>
    <t>The other tabs in this spreadsheet are the tables we have been using to develop findings lists.  This tab references them for some of its information, which is why they are part of the workbook.  However, you could extract this tab and use it independently if you supplied the findings list data from some other source.  The blue highlighted cells discuss this further where appropriate.</t>
  </si>
  <si>
    <t>Facility Dynamics NW Satellite Location  - 8560 North Buchanan Avenue,  Portland, Oregon 97203, Phone: ;  www.facilitydynamics.com</t>
  </si>
  <si>
    <t>Engineering Calculation</t>
  </si>
  <si>
    <t>David Sellers</t>
  </si>
  <si>
    <t>Notice:
Facility Dynamics Engineering has provided this spreadsheet to support training classes and personal development.   We are happy to have you use it to learn about building systems and related concepts and calculations   But you are using it at your own risk and neither FDE nor I can be responsible for the results you generate with it and the decisions you make as a result.  Please check your work and use your head.
In addition, we consider the spreadsheet to be original work and intellectual property.  In other words, we own the spreadsheet and it is copyrighted in our name. Having said that, it is important to us to strike an appropriate balance between a desire to support the industry and pass on knowledge that has been handed down to us by our mentors and people like Isaac Newton and Willis Carrier for example, while protecting our intellectual property rights. So thank you in advance for being conscious of that as you apply this spreadsheet.
By opening and working with this file, you are acknowledging that you have read and understand this copyright notice and will comply with its requirements including our list of permissions.  To view our permissions, please visit http://www.av8rdas.com/copyright-and-permissions.html.</t>
  </si>
  <si>
    <t>Overview and General Instructions</t>
  </si>
  <si>
    <t>The "Initial Cost-Benefit Assessment" tab includes instructions at the top and with many of the rows.</t>
  </si>
  <si>
    <t>The "Working Table" tab is what I use as a findings list.  If you enter data in the cells highlighted in yellow or the colunns with yellow cells over the column heading, the rest of the cells in the table  should fill in.</t>
  </si>
  <si>
    <t>The table is linked up with the cost benefit assessment so that as you develop finding, the projected savings are "firmed up".    This can be really useful because sometimes, when you scope a facility, you will discover things that allow you to do a pretty firm estimate for the savings that will be achieved by addressing a particular observation.
For instance, if you notice that a pump is throttled by the triple duty valve on its discharge, then you can get a pretty good idea of the savings you will achieve if you can optimize the pump to deliver design flow with out throttling by using the pressure drop curves for the valve to estimate the pressure drop through the throttled valve vs. the wide open valve and then using that pressure drop (which is approximatley the head you will save) along with the design flow rate for the pump in the pump power formula.
If you are not familiar with the pump power formula, you will find it (along with others) in the file you can download at this link.</t>
  </si>
  <si>
    <t>https://www.av8rdas.com/hvac-equations-and-concepts.html</t>
  </si>
  <si>
    <t>The point is that the spreadsheet is set up to help you see how realistic your initial savings projection was as you scope the facility and develop your findings list.  This will allow you to revise your projection appropriately as you get deeper into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</si>
</sst>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164" formatCode="#.\ "/>
    <numFmt numFmtId="165" formatCode="#,##0.0000"/>
    <numFmt numFmtId="166" formatCode="#,##0.0"/>
    <numFmt numFmtId="167" formatCode="dddd\ mmmm\ dd\,\ yyyy"/>
    <numFmt numFmtId="168" formatCode="&quot;$&quot;#,##0.0000_);[Red]\(&quot;$&quot;#,##0.0000\)"/>
    <numFmt numFmtId="169" formatCode="#.\ \ "/>
    <numFmt numFmtId="170" formatCode="#,##0.0_);[Red]\(#,##0.0\)"/>
    <numFmt numFmtId="171" formatCode="#,##0.000"/>
    <numFmt numFmtId="172" formatCode="&quot;$&quot;#,##0"/>
    <numFmt numFmtId="173" formatCode="##."/>
  </numFmts>
  <fonts count="18" x14ac:knownFonts="1">
    <font>
      <sz val="12"/>
      <name val="Comic Sans MS"/>
      <family val="4"/>
    </font>
    <font>
      <sz val="12"/>
      <name val="Comic Sans MS"/>
      <family val="4"/>
    </font>
    <font>
      <sz val="12"/>
      <color indexed="8"/>
      <name val="Comic Sans MS"/>
      <family val="4"/>
    </font>
    <font>
      <i/>
      <sz val="12"/>
      <name val="Comic Sans MS"/>
      <family val="4"/>
    </font>
    <font>
      <b/>
      <sz val="12"/>
      <name val="Comic Sans MS"/>
      <family val="4"/>
    </font>
    <font>
      <b/>
      <sz val="14"/>
      <name val="Comic Sans MS"/>
      <family val="4"/>
    </font>
    <font>
      <b/>
      <sz val="12"/>
      <color theme="0"/>
      <name val="Comic Sans MS"/>
      <family val="4"/>
    </font>
    <font>
      <sz val="12"/>
      <color theme="0"/>
      <name val="Comic Sans MS"/>
      <family val="4"/>
    </font>
    <font>
      <u/>
      <sz val="12"/>
      <color theme="10"/>
      <name val="Comic Sans MS"/>
      <family val="4"/>
    </font>
    <font>
      <i/>
      <sz val="12"/>
      <color indexed="8"/>
      <name val="Comic Sans MS"/>
      <family val="4"/>
    </font>
    <font>
      <b/>
      <sz val="14"/>
      <color indexed="9"/>
      <name val="Comic Sans MS"/>
      <family val="4"/>
    </font>
    <font>
      <b/>
      <sz val="12"/>
      <color indexed="9"/>
      <name val="Comic Sans MS"/>
      <family val="4"/>
    </font>
    <font>
      <b/>
      <sz val="14"/>
      <color theme="1"/>
      <name val="Comic Sans MS"/>
      <family val="4"/>
    </font>
    <font>
      <sz val="12"/>
      <color theme="1"/>
      <name val="Comic Sans MS"/>
      <family val="4"/>
    </font>
    <font>
      <u/>
      <sz val="12"/>
      <color theme="8"/>
      <name val="Comic Sans MS"/>
      <family val="4"/>
    </font>
    <font>
      <i/>
      <sz val="12"/>
      <color indexed="8"/>
      <name val="Times New Roman"/>
      <family val="1"/>
    </font>
    <font>
      <b/>
      <sz val="12"/>
      <color indexed="8"/>
      <name val="Comic Sans MS"/>
      <family val="4"/>
    </font>
    <font>
      <b/>
      <i/>
      <sz val="12"/>
      <color theme="0"/>
      <name val="Comic Sans MS"/>
      <family val="4"/>
    </font>
  </fonts>
  <fills count="18">
    <fill>
      <patternFill patternType="none"/>
    </fill>
    <fill>
      <patternFill patternType="gray125"/>
    </fill>
    <fill>
      <patternFill patternType="solid">
        <fgColor indexed="43"/>
        <bgColor indexed="64"/>
      </patternFill>
    </fill>
    <fill>
      <patternFill patternType="solid">
        <fgColor rgb="FF00B050"/>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7"/>
        <bgColor indexed="64"/>
      </patternFill>
    </fill>
    <fill>
      <patternFill patternType="solid">
        <fgColor theme="5"/>
        <bgColor indexed="64"/>
      </patternFill>
    </fill>
    <fill>
      <patternFill patternType="solid">
        <fgColor theme="8"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00FF"/>
        <bgColor indexed="64"/>
      </patternFill>
    </fill>
  </fills>
  <borders count="25">
    <border>
      <left/>
      <right/>
      <top/>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bottom/>
      <diagonal/>
    </border>
    <border>
      <left/>
      <right style="medium">
        <color rgb="FFFF0000"/>
      </right>
      <top/>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medium">
        <color theme="4"/>
      </left>
      <right/>
      <top style="medium">
        <color theme="4"/>
      </top>
      <bottom/>
      <diagonal/>
    </border>
    <border>
      <left/>
      <right style="medium">
        <color theme="4"/>
      </right>
      <top style="medium">
        <color theme="4"/>
      </top>
      <bottom/>
      <diagonal/>
    </border>
    <border>
      <left style="medium">
        <color theme="4"/>
      </left>
      <right/>
      <top/>
      <bottom style="medium">
        <color theme="4"/>
      </bottom>
      <diagonal/>
    </border>
    <border>
      <left/>
      <right style="medium">
        <color theme="4"/>
      </right>
      <top/>
      <bottom style="medium">
        <color theme="4"/>
      </bottom>
      <diagonal/>
    </border>
    <border>
      <left style="medium">
        <color theme="4"/>
      </left>
      <right/>
      <top/>
      <bottom/>
      <diagonal/>
    </border>
    <border>
      <left/>
      <right style="medium">
        <color theme="4"/>
      </right>
      <top/>
      <bottom/>
      <diagonal/>
    </border>
  </borders>
  <cellStyleXfs count="3">
    <xf numFmtId="0" fontId="0" fillId="0" borderId="0">
      <alignment vertical="top"/>
    </xf>
    <xf numFmtId="0" fontId="1" fillId="0" borderId="0">
      <alignment vertical="top"/>
    </xf>
    <xf numFmtId="0" fontId="8" fillId="0" borderId="0" applyNumberFormat="0" applyFill="0" applyBorder="0" applyAlignment="0" applyProtection="0">
      <alignment vertical="top"/>
    </xf>
  </cellStyleXfs>
  <cellXfs count="239">
    <xf numFmtId="0" fontId="0" fillId="0" borderId="0" xfId="0">
      <alignment vertical="top"/>
    </xf>
    <xf numFmtId="0" fontId="3" fillId="0" borderId="0" xfId="1" applyFont="1">
      <alignment vertical="top"/>
    </xf>
    <xf numFmtId="0" fontId="4" fillId="0" borderId="0" xfId="1" applyFont="1">
      <alignment vertical="top"/>
    </xf>
    <xf numFmtId="0" fontId="5" fillId="0" borderId="0" xfId="1" applyFont="1">
      <alignment vertical="top"/>
    </xf>
    <xf numFmtId="0" fontId="1" fillId="0" borderId="0" xfId="1" applyFont="1">
      <alignment vertical="top"/>
    </xf>
    <xf numFmtId="0" fontId="2" fillId="0" borderId="0" xfId="1" applyFont="1" applyFill="1" applyAlignment="1" applyProtection="1">
      <alignment horizontal="right" vertical="top"/>
    </xf>
    <xf numFmtId="0" fontId="2" fillId="0" borderId="0" xfId="1" applyFont="1" applyAlignment="1" applyProtection="1">
      <alignment horizontal="right" vertical="top"/>
    </xf>
    <xf numFmtId="0" fontId="0" fillId="0" borderId="0" xfId="0" applyAlignment="1">
      <alignment vertical="top"/>
    </xf>
    <xf numFmtId="0" fontId="0" fillId="0" borderId="0" xfId="0" applyAlignment="1">
      <alignment vertical="top"/>
    </xf>
    <xf numFmtId="0" fontId="0" fillId="0" borderId="0" xfId="0" applyAlignment="1">
      <alignment horizontal="right" vertical="top"/>
    </xf>
    <xf numFmtId="0" fontId="0" fillId="0" borderId="0" xfId="0" applyAlignment="1">
      <alignment horizontal="center" vertical="top"/>
    </xf>
    <xf numFmtId="3" fontId="0" fillId="0" borderId="0" xfId="0" applyNumberFormat="1" applyAlignment="1">
      <alignment horizontal="center" vertical="top"/>
    </xf>
    <xf numFmtId="6" fontId="0" fillId="0" borderId="0" xfId="0" applyNumberFormat="1" applyAlignment="1">
      <alignment horizontal="center" vertical="top"/>
    </xf>
    <xf numFmtId="9" fontId="0" fillId="0" borderId="0" xfId="0" applyNumberFormat="1" applyAlignment="1">
      <alignment horizontal="center" vertical="top"/>
    </xf>
    <xf numFmtId="8" fontId="0" fillId="0" borderId="0" xfId="0" applyNumberFormat="1" applyAlignment="1">
      <alignment horizontal="right" vertical="top"/>
    </xf>
    <xf numFmtId="0" fontId="0" fillId="0" borderId="0" xfId="0" applyAlignment="1">
      <alignment horizontal="left" vertical="top" indent="1"/>
    </xf>
    <xf numFmtId="0" fontId="0" fillId="0" borderId="0" xfId="0" applyAlignment="1">
      <alignment horizontal="left" vertical="top" indent="2"/>
    </xf>
    <xf numFmtId="6" fontId="0" fillId="0" borderId="0" xfId="0" applyNumberFormat="1" applyAlignment="1">
      <alignment horizontal="center" vertical="top"/>
    </xf>
    <xf numFmtId="0" fontId="0" fillId="0" borderId="0" xfId="0" applyAlignment="1">
      <alignment vertical="top"/>
    </xf>
    <xf numFmtId="8" fontId="0" fillId="7" borderId="0" xfId="0" applyNumberFormat="1" applyFill="1" applyAlignment="1">
      <alignment vertical="top"/>
    </xf>
    <xf numFmtId="3" fontId="0" fillId="7" borderId="0" xfId="0" applyNumberFormat="1" applyFill="1" applyAlignment="1">
      <alignment horizontal="right" vertical="top"/>
    </xf>
    <xf numFmtId="3" fontId="0" fillId="7" borderId="0" xfId="0" applyNumberFormat="1" applyFill="1" applyAlignment="1">
      <alignment horizontal="center" vertical="top"/>
    </xf>
    <xf numFmtId="6" fontId="0" fillId="7" borderId="0" xfId="0" applyNumberFormat="1" applyFill="1" applyAlignment="1">
      <alignment horizontal="center" vertical="top"/>
    </xf>
    <xf numFmtId="0" fontId="0" fillId="0" borderId="0" xfId="0" applyAlignment="1">
      <alignment vertical="top" wrapText="1"/>
    </xf>
    <xf numFmtId="6" fontId="0" fillId="6" borderId="1" xfId="0" applyNumberFormat="1" applyFill="1" applyBorder="1" applyAlignment="1">
      <alignment horizontal="center" vertical="top"/>
    </xf>
    <xf numFmtId="6" fontId="0" fillId="6" borderId="2" xfId="0" applyNumberFormat="1" applyFill="1" applyBorder="1" applyAlignment="1">
      <alignment horizontal="center" vertical="top"/>
    </xf>
    <xf numFmtId="9" fontId="0" fillId="6" borderId="3" xfId="0" applyNumberFormat="1" applyFill="1" applyBorder="1" applyAlignment="1">
      <alignment horizontal="center" vertical="top"/>
    </xf>
    <xf numFmtId="9" fontId="0" fillId="6" borderId="4" xfId="0" applyNumberFormat="1" applyFill="1" applyBorder="1" applyAlignment="1">
      <alignment horizontal="center" vertical="top"/>
    </xf>
    <xf numFmtId="6" fontId="0" fillId="6" borderId="3" xfId="0" applyNumberFormat="1" applyFill="1" applyBorder="1" applyAlignment="1">
      <alignment horizontal="center" vertical="top"/>
    </xf>
    <xf numFmtId="6" fontId="0" fillId="6" borderId="4" xfId="0" applyNumberFormat="1" applyFill="1" applyBorder="1" applyAlignment="1">
      <alignment horizontal="center" vertical="top"/>
    </xf>
    <xf numFmtId="6" fontId="0" fillId="6" borderId="5" xfId="0" applyNumberFormat="1" applyFill="1" applyBorder="1" applyAlignment="1">
      <alignment horizontal="center" vertical="top"/>
    </xf>
    <xf numFmtId="6" fontId="0" fillId="6" borderId="6" xfId="0" applyNumberFormat="1" applyFill="1" applyBorder="1" applyAlignment="1">
      <alignment horizontal="center" vertical="top"/>
    </xf>
    <xf numFmtId="6" fontId="0" fillId="6" borderId="7" xfId="0" applyNumberFormat="1" applyFill="1" applyBorder="1" applyAlignment="1">
      <alignment horizontal="center" vertical="top"/>
    </xf>
    <xf numFmtId="9" fontId="0" fillId="0" borderId="0" xfId="0" applyNumberFormat="1" applyFill="1" applyAlignment="1">
      <alignment horizontal="center" vertical="top"/>
    </xf>
    <xf numFmtId="8" fontId="0" fillId="6" borderId="2" xfId="0" applyNumberFormat="1" applyFill="1" applyBorder="1" applyAlignment="1">
      <alignment horizontal="center" vertical="top"/>
    </xf>
    <xf numFmtId="6" fontId="0" fillId="6" borderId="8" xfId="0" applyNumberFormat="1" applyFill="1" applyBorder="1" applyAlignment="1">
      <alignment horizontal="center" vertical="top"/>
    </xf>
    <xf numFmtId="8" fontId="0" fillId="6" borderId="9" xfId="0" applyNumberFormat="1" applyFill="1" applyBorder="1" applyAlignment="1">
      <alignment horizontal="center" vertical="top"/>
    </xf>
    <xf numFmtId="6" fontId="4" fillId="6" borderId="8" xfId="0" applyNumberFormat="1" applyFont="1" applyFill="1" applyBorder="1" applyAlignment="1">
      <alignment horizontal="center" vertical="top"/>
    </xf>
    <xf numFmtId="8" fontId="4" fillId="6" borderId="9" xfId="0" applyNumberFormat="1" applyFont="1" applyFill="1" applyBorder="1" applyAlignment="1">
      <alignment horizontal="center" vertical="top"/>
    </xf>
    <xf numFmtId="0" fontId="4" fillId="0" borderId="0" xfId="0" applyFont="1" applyAlignment="1">
      <alignment vertical="top"/>
    </xf>
    <xf numFmtId="0" fontId="4" fillId="0" borderId="0" xfId="0" applyFont="1" applyAlignment="1">
      <alignment horizontal="left" vertical="top"/>
    </xf>
    <xf numFmtId="6" fontId="4" fillId="6" borderId="3" xfId="0" applyNumberFormat="1" applyFont="1" applyFill="1" applyBorder="1" applyAlignment="1">
      <alignment horizontal="center" vertical="top"/>
    </xf>
    <xf numFmtId="8" fontId="4" fillId="6" borderId="4" xfId="0" applyNumberFormat="1" applyFont="1" applyFill="1" applyBorder="1" applyAlignment="1">
      <alignment horizontal="center" vertical="top"/>
    </xf>
    <xf numFmtId="0" fontId="4" fillId="0" borderId="0" xfId="0" applyFont="1" applyAlignment="1">
      <alignment horizontal="center" vertical="top"/>
    </xf>
    <xf numFmtId="0" fontId="0" fillId="0" borderId="0" xfId="0" applyFont="1" applyAlignment="1">
      <alignment horizontal="center" vertical="top"/>
    </xf>
    <xf numFmtId="0" fontId="4" fillId="10" borderId="0" xfId="0" applyFont="1" applyFill="1" applyAlignment="1">
      <alignment horizontal="center" vertical="top"/>
    </xf>
    <xf numFmtId="8" fontId="0" fillId="6" borderId="1" xfId="0" applyNumberFormat="1" applyFill="1" applyBorder="1" applyAlignment="1">
      <alignment horizontal="center" vertical="top"/>
    </xf>
    <xf numFmtId="9" fontId="4" fillId="0" borderId="0" xfId="0" applyNumberFormat="1" applyFont="1" applyFill="1" applyAlignment="1">
      <alignment horizontal="center" vertical="top"/>
    </xf>
    <xf numFmtId="9" fontId="0" fillId="4" borderId="0" xfId="0" applyNumberFormat="1" applyFill="1" applyAlignment="1">
      <alignment horizontal="center" vertical="top"/>
    </xf>
    <xf numFmtId="9" fontId="4" fillId="4" borderId="0" xfId="0" applyNumberFormat="1" applyFont="1" applyFill="1" applyAlignment="1">
      <alignment horizontal="center" vertical="top"/>
    </xf>
    <xf numFmtId="0" fontId="0" fillId="0" borderId="0" xfId="0" applyFill="1" applyAlignment="1">
      <alignment vertical="top"/>
    </xf>
    <xf numFmtId="0" fontId="0" fillId="0" borderId="0" xfId="0" applyFill="1" applyAlignment="1">
      <alignment vertical="top" wrapText="1"/>
    </xf>
    <xf numFmtId="9" fontId="0" fillId="4" borderId="0" xfId="0" applyNumberFormat="1" applyFill="1" applyAlignment="1">
      <alignment vertical="top"/>
    </xf>
    <xf numFmtId="3" fontId="0" fillId="4" borderId="0" xfId="0" applyNumberFormat="1" applyFill="1" applyAlignment="1">
      <alignment vertical="top"/>
    </xf>
    <xf numFmtId="0" fontId="0" fillId="0" borderId="0" xfId="0" applyAlignment="1">
      <alignment vertical="top"/>
    </xf>
    <xf numFmtId="0" fontId="0" fillId="0" borderId="0" xfId="0" applyAlignment="1">
      <alignment vertical="top"/>
    </xf>
    <xf numFmtId="0" fontId="0" fillId="8" borderId="0" xfId="0" applyFill="1" applyAlignment="1">
      <alignment vertical="top" wrapText="1"/>
    </xf>
    <xf numFmtId="0" fontId="0" fillId="8" borderId="0" xfId="0" applyFill="1" applyAlignment="1">
      <alignment vertical="top"/>
    </xf>
    <xf numFmtId="3" fontId="0" fillId="0" borderId="0" xfId="0" applyNumberFormat="1" applyAlignment="1">
      <alignment vertical="top"/>
    </xf>
    <xf numFmtId="9" fontId="0" fillId="0" borderId="0" xfId="0" applyNumberFormat="1" applyAlignment="1">
      <alignment vertical="top"/>
    </xf>
    <xf numFmtId="0" fontId="0" fillId="8" borderId="0" xfId="0" applyFill="1" applyAlignment="1">
      <alignment horizontal="right" vertical="top" wrapText="1"/>
    </xf>
    <xf numFmtId="171" fontId="0" fillId="7" borderId="0" xfId="0" applyNumberFormat="1" applyFill="1" applyAlignment="1">
      <alignment horizontal="right" vertical="top"/>
    </xf>
    <xf numFmtId="0" fontId="0" fillId="8" borderId="0" xfId="0" applyFill="1" applyAlignment="1">
      <alignment horizontal="right" vertical="top"/>
    </xf>
    <xf numFmtId="6" fontId="0" fillId="6" borderId="10" xfId="0" applyNumberFormat="1" applyFill="1" applyBorder="1" applyAlignment="1">
      <alignment horizontal="center" vertical="top"/>
    </xf>
    <xf numFmtId="8" fontId="0" fillId="6" borderId="11" xfId="0" applyNumberFormat="1" applyFill="1" applyBorder="1" applyAlignment="1">
      <alignment horizontal="center" vertical="top"/>
    </xf>
    <xf numFmtId="3" fontId="0" fillId="6" borderId="11" xfId="0" applyNumberFormat="1" applyFill="1" applyBorder="1" applyAlignment="1">
      <alignment horizontal="center" vertical="top"/>
    </xf>
    <xf numFmtId="3" fontId="0" fillId="6" borderId="12" xfId="0" applyNumberFormat="1" applyFill="1" applyBorder="1" applyAlignment="1">
      <alignment horizontal="center" vertical="top"/>
    </xf>
    <xf numFmtId="8" fontId="0" fillId="0" borderId="0" xfId="0" applyNumberFormat="1" applyAlignment="1">
      <alignment horizontal="left" vertical="top"/>
    </xf>
    <xf numFmtId="0" fontId="0" fillId="0" borderId="0" xfId="0" applyAlignment="1">
      <alignment vertical="top"/>
    </xf>
    <xf numFmtId="0" fontId="0" fillId="0" borderId="0" xfId="0" applyAlignment="1">
      <alignment vertical="top"/>
    </xf>
    <xf numFmtId="0" fontId="1" fillId="0" borderId="0" xfId="1" applyFont="1" applyFill="1">
      <alignment vertical="top"/>
    </xf>
    <xf numFmtId="3" fontId="1" fillId="0" borderId="0" xfId="1" applyNumberFormat="1" applyFont="1" applyFill="1">
      <alignment vertical="top"/>
    </xf>
    <xf numFmtId="0" fontId="9" fillId="0" borderId="0" xfId="1" applyFont="1" applyAlignment="1" applyProtection="1">
      <alignment horizontal="left" vertical="top"/>
    </xf>
    <xf numFmtId="3" fontId="9" fillId="0" borderId="0" xfId="1" applyNumberFormat="1" applyFont="1" applyProtection="1">
      <alignment vertical="top"/>
    </xf>
    <xf numFmtId="0" fontId="2" fillId="0" borderId="0" xfId="0" applyFont="1" applyFill="1" applyAlignment="1" applyProtection="1"/>
    <xf numFmtId="6" fontId="2" fillId="0" borderId="0" xfId="0" applyNumberFormat="1" applyFont="1" applyFill="1" applyAlignment="1">
      <alignment horizontal="center" vertical="top"/>
    </xf>
    <xf numFmtId="170" fontId="2" fillId="0" borderId="0" xfId="0" applyNumberFormat="1" applyFont="1" applyFill="1" applyAlignment="1">
      <alignment horizontal="center" vertical="top"/>
    </xf>
    <xf numFmtId="0" fontId="2" fillId="0" borderId="0" xfId="0" applyFont="1" applyFill="1" applyAlignment="1">
      <alignment horizontal="center" vertical="top"/>
    </xf>
    <xf numFmtId="4" fontId="2" fillId="0" borderId="0" xfId="0" applyNumberFormat="1" applyFont="1" applyFill="1" applyAlignment="1">
      <alignment horizontal="center" vertical="top"/>
    </xf>
    <xf numFmtId="0" fontId="1" fillId="0" borderId="0" xfId="0" applyFont="1">
      <alignment vertical="top"/>
    </xf>
    <xf numFmtId="166" fontId="2" fillId="0" borderId="0" xfId="0" applyNumberFormat="1" applyFont="1" applyFill="1" applyAlignment="1">
      <alignment horizontal="center" vertical="top"/>
    </xf>
    <xf numFmtId="165" fontId="2" fillId="0" borderId="0" xfId="0" applyNumberFormat="1" applyFont="1" applyFill="1" applyAlignment="1">
      <alignment horizontal="center" vertical="top"/>
    </xf>
    <xf numFmtId="0" fontId="1" fillId="0" borderId="0" xfId="0" applyFont="1" applyAlignment="1">
      <alignment vertical="top" wrapText="1"/>
    </xf>
    <xf numFmtId="0" fontId="2" fillId="0" borderId="0" xfId="0" applyFont="1" applyFill="1" applyAlignment="1">
      <alignment horizontal="left" vertical="top"/>
    </xf>
    <xf numFmtId="0" fontId="2" fillId="0" borderId="0" xfId="0" applyFont="1" applyFill="1">
      <alignment vertical="top"/>
    </xf>
    <xf numFmtId="164" fontId="2" fillId="0" borderId="0" xfId="0" applyNumberFormat="1" applyFont="1" applyFill="1">
      <alignment vertical="top"/>
    </xf>
    <xf numFmtId="0" fontId="2" fillId="0" borderId="0" xfId="0" applyFont="1" applyFill="1" applyAlignment="1">
      <alignment horizontal="right" vertical="top"/>
    </xf>
    <xf numFmtId="16" fontId="2" fillId="0" borderId="0" xfId="0" applyNumberFormat="1" applyFont="1" applyFill="1" applyAlignment="1">
      <alignment horizontal="left" vertical="top"/>
    </xf>
    <xf numFmtId="6" fontId="1" fillId="0" borderId="0" xfId="1" applyNumberFormat="1" applyFont="1" applyAlignment="1">
      <alignment horizontal="center" vertical="top"/>
    </xf>
    <xf numFmtId="170" fontId="1" fillId="0" borderId="0" xfId="1" applyNumberFormat="1" applyFont="1" applyAlignment="1">
      <alignment horizontal="center" vertical="top"/>
    </xf>
    <xf numFmtId="0" fontId="1" fillId="0" borderId="0" xfId="1" applyFont="1" applyAlignment="1">
      <alignment horizontal="center" vertical="top"/>
    </xf>
    <xf numFmtId="166" fontId="1" fillId="0" borderId="0" xfId="1" applyNumberFormat="1" applyFont="1" applyAlignment="1">
      <alignment horizontal="center" vertical="top"/>
    </xf>
    <xf numFmtId="0" fontId="1" fillId="0" borderId="0" xfId="1" applyFont="1" applyAlignment="1">
      <alignment vertical="top" wrapText="1"/>
    </xf>
    <xf numFmtId="3" fontId="1" fillId="0" borderId="0" xfId="1" applyNumberFormat="1" applyFont="1">
      <alignment vertical="top"/>
    </xf>
    <xf numFmtId="169" fontId="1" fillId="0" borderId="0" xfId="1" applyNumberFormat="1" applyFont="1" applyBorder="1" applyAlignment="1">
      <alignment horizontal="right" vertical="top"/>
    </xf>
    <xf numFmtId="3" fontId="1" fillId="2" borderId="0" xfId="1" applyNumberFormat="1" applyFont="1" applyFill="1" applyAlignment="1">
      <alignment vertical="top"/>
    </xf>
    <xf numFmtId="0" fontId="1" fillId="0" borderId="0" xfId="0" applyFont="1" applyAlignment="1">
      <alignment vertical="top"/>
    </xf>
    <xf numFmtId="3" fontId="1" fillId="0" borderId="0" xfId="1" applyNumberFormat="1" applyFont="1" applyAlignment="1">
      <alignment vertical="top"/>
    </xf>
    <xf numFmtId="3" fontId="1" fillId="10" borderId="14" xfId="1" applyNumberFormat="1" applyFont="1" applyFill="1" applyBorder="1" applyAlignment="1">
      <alignment vertical="top" wrapText="1"/>
    </xf>
    <xf numFmtId="3" fontId="2" fillId="12" borderId="0" xfId="1" applyNumberFormat="1" applyFont="1" applyFill="1">
      <alignment vertical="top"/>
    </xf>
    <xf numFmtId="6" fontId="1" fillId="12" borderId="0" xfId="1" applyNumberFormat="1" applyFont="1" applyFill="1" applyAlignment="1">
      <alignment horizontal="center" vertical="top"/>
    </xf>
    <xf numFmtId="0" fontId="1" fillId="12" borderId="0" xfId="1" applyFont="1" applyFill="1" applyAlignment="1">
      <alignment horizontal="center" vertical="top"/>
    </xf>
    <xf numFmtId="166" fontId="1" fillId="12" borderId="0" xfId="1" applyNumberFormat="1" applyFont="1" applyFill="1" applyAlignment="1">
      <alignment horizontal="center" vertical="top"/>
    </xf>
    <xf numFmtId="0" fontId="1" fillId="12" borderId="0" xfId="1" applyFont="1" applyFill="1">
      <alignment vertical="top"/>
    </xf>
    <xf numFmtId="0" fontId="1" fillId="12" borderId="0" xfId="1" applyFont="1" applyFill="1" applyAlignment="1">
      <alignment vertical="top" wrapText="1"/>
    </xf>
    <xf numFmtId="169" fontId="1" fillId="10" borderId="13" xfId="1" applyNumberFormat="1" applyFont="1" applyFill="1" applyBorder="1" applyAlignment="1">
      <alignment horizontal="right" vertical="top"/>
    </xf>
    <xf numFmtId="6" fontId="1" fillId="10" borderId="14" xfId="1" applyNumberFormat="1" applyFont="1" applyFill="1" applyBorder="1" applyAlignment="1">
      <alignment horizontal="center" vertical="top"/>
    </xf>
    <xf numFmtId="6" fontId="1" fillId="10" borderId="14" xfId="1" applyNumberFormat="1" applyFont="1" applyFill="1" applyBorder="1" applyAlignment="1">
      <alignment horizontal="center" vertical="top" wrapText="1"/>
    </xf>
    <xf numFmtId="170" fontId="1" fillId="10" borderId="14" xfId="1" applyNumberFormat="1" applyFont="1" applyFill="1" applyBorder="1" applyAlignment="1">
      <alignment horizontal="center" vertical="top" wrapText="1"/>
    </xf>
    <xf numFmtId="3" fontId="1" fillId="10" borderId="14" xfId="1" applyNumberFormat="1" applyFont="1" applyFill="1" applyBorder="1" applyAlignment="1">
      <alignment horizontal="center" vertical="top"/>
    </xf>
    <xf numFmtId="166" fontId="1" fillId="10" borderId="14" xfId="1" applyNumberFormat="1" applyFont="1" applyFill="1" applyBorder="1" applyAlignment="1">
      <alignment horizontal="center" vertical="top"/>
    </xf>
    <xf numFmtId="38" fontId="1" fillId="10" borderId="14" xfId="1" applyNumberFormat="1" applyFont="1" applyFill="1" applyBorder="1" applyAlignment="1">
      <alignment horizontal="center" vertical="top"/>
    </xf>
    <xf numFmtId="0" fontId="1" fillId="10" borderId="14" xfId="1" applyFont="1" applyFill="1" applyBorder="1" applyAlignment="1">
      <alignment horizontal="center" vertical="top"/>
    </xf>
    <xf numFmtId="0" fontId="1" fillId="10" borderId="15" xfId="1" applyFont="1" applyFill="1" applyBorder="1" applyAlignment="1">
      <alignment vertical="top" wrapText="1"/>
    </xf>
    <xf numFmtId="169" fontId="13" fillId="14" borderId="13" xfId="1" applyNumberFormat="1" applyFont="1" applyFill="1" applyBorder="1" applyAlignment="1">
      <alignment horizontal="right" vertical="top"/>
    </xf>
    <xf numFmtId="3" fontId="13" fillId="14" borderId="14" xfId="1" applyNumberFormat="1" applyFont="1" applyFill="1" applyBorder="1" applyAlignment="1">
      <alignment vertical="top" wrapText="1"/>
    </xf>
    <xf numFmtId="6" fontId="13" fillId="14" borderId="14" xfId="1" applyNumberFormat="1" applyFont="1" applyFill="1" applyBorder="1" applyAlignment="1">
      <alignment horizontal="center" vertical="top"/>
    </xf>
    <xf numFmtId="6" fontId="13" fillId="14" borderId="14" xfId="1" applyNumberFormat="1" applyFont="1" applyFill="1" applyBorder="1" applyAlignment="1">
      <alignment horizontal="center" vertical="top" wrapText="1"/>
    </xf>
    <xf numFmtId="170" fontId="13" fillId="14" borderId="14" xfId="1" applyNumberFormat="1" applyFont="1" applyFill="1" applyBorder="1" applyAlignment="1">
      <alignment horizontal="center" vertical="top" wrapText="1"/>
    </xf>
    <xf numFmtId="3" fontId="13" fillId="14" borderId="14" xfId="1" applyNumberFormat="1" applyFont="1" applyFill="1" applyBorder="1" applyAlignment="1">
      <alignment horizontal="center" vertical="top" wrapText="1"/>
    </xf>
    <xf numFmtId="166" fontId="13" fillId="14" borderId="14" xfId="1" applyNumberFormat="1" applyFont="1" applyFill="1" applyBorder="1" applyAlignment="1">
      <alignment horizontal="center" vertical="top" wrapText="1"/>
    </xf>
    <xf numFmtId="0" fontId="13" fillId="14" borderId="14" xfId="1" applyFont="1" applyFill="1" applyBorder="1" applyAlignment="1">
      <alignment horizontal="center" vertical="top" wrapText="1"/>
    </xf>
    <xf numFmtId="0" fontId="13" fillId="14" borderId="15" xfId="1" applyFont="1" applyFill="1" applyBorder="1" applyAlignment="1">
      <alignment vertical="top" wrapText="1"/>
    </xf>
    <xf numFmtId="0" fontId="0" fillId="10" borderId="14" xfId="1" applyFont="1" applyFill="1" applyBorder="1" applyAlignment="1">
      <alignment horizontal="center" vertical="top"/>
    </xf>
    <xf numFmtId="0" fontId="2" fillId="12" borderId="0" xfId="0" applyFont="1" applyFill="1" applyAlignment="1">
      <alignment horizontal="left" vertical="top"/>
    </xf>
    <xf numFmtId="0" fontId="2" fillId="12" borderId="0" xfId="0" applyFont="1" applyFill="1" applyAlignment="1">
      <alignment horizontal="center" vertical="top"/>
    </xf>
    <xf numFmtId="168" fontId="2" fillId="12" borderId="0" xfId="0" applyNumberFormat="1" applyFont="1" applyFill="1" applyAlignment="1">
      <alignment horizontal="center" vertical="top"/>
    </xf>
    <xf numFmtId="38" fontId="2" fillId="12" borderId="0" xfId="0" applyNumberFormat="1" applyFont="1" applyFill="1" applyAlignment="1">
      <alignment horizontal="center" vertical="top"/>
    </xf>
    <xf numFmtId="6" fontId="1" fillId="0" borderId="0" xfId="1" applyNumberFormat="1" applyFont="1" applyFill="1" applyAlignment="1">
      <alignment horizontal="center" vertical="top"/>
    </xf>
    <xf numFmtId="0" fontId="1" fillId="0" borderId="0" xfId="0" applyFont="1" applyFill="1" applyAlignment="1">
      <alignment vertical="top" wrapText="1"/>
    </xf>
    <xf numFmtId="0" fontId="1" fillId="0" borderId="0" xfId="1" applyFont="1" applyFill="1" applyAlignment="1">
      <alignment vertical="top" wrapText="1"/>
    </xf>
    <xf numFmtId="0" fontId="10" fillId="0" borderId="0" xfId="1" applyFont="1" applyFill="1" applyBorder="1" applyAlignment="1">
      <alignment vertical="top" wrapText="1"/>
    </xf>
    <xf numFmtId="0" fontId="10" fillId="0" borderId="0" xfId="0" applyFont="1" applyFill="1" applyBorder="1" applyAlignment="1">
      <alignment vertical="top" wrapText="1"/>
    </xf>
    <xf numFmtId="0" fontId="1" fillId="0" borderId="0" xfId="1" applyFont="1" applyFill="1" applyBorder="1" applyAlignment="1">
      <alignment vertical="top" wrapText="1"/>
    </xf>
    <xf numFmtId="0" fontId="13" fillId="0" borderId="0" xfId="1" applyFont="1" applyFill="1" applyBorder="1" applyAlignment="1">
      <alignment vertical="top" wrapText="1"/>
    </xf>
    <xf numFmtId="0" fontId="11" fillId="0" borderId="0" xfId="1" applyFont="1" applyFill="1" applyBorder="1" applyAlignment="1">
      <alignment vertical="top" wrapText="1"/>
    </xf>
    <xf numFmtId="6" fontId="10" fillId="13" borderId="17" xfId="0" applyNumberFormat="1" applyFont="1" applyFill="1" applyBorder="1" applyAlignment="1">
      <alignment horizontal="center" vertical="top" wrapText="1"/>
    </xf>
    <xf numFmtId="6" fontId="12" fillId="16" borderId="17" xfId="1" applyNumberFormat="1" applyFont="1" applyFill="1" applyBorder="1" applyAlignment="1">
      <alignment horizontal="center" vertical="top"/>
    </xf>
    <xf numFmtId="169" fontId="4" fillId="0" borderId="0" xfId="1" applyNumberFormat="1" applyFont="1" applyBorder="1" applyAlignment="1">
      <alignment horizontal="right" vertical="top"/>
    </xf>
    <xf numFmtId="3" fontId="4" fillId="0" borderId="0" xfId="1" applyNumberFormat="1" applyFont="1" applyAlignment="1">
      <alignment vertical="top"/>
    </xf>
    <xf numFmtId="6" fontId="11" fillId="11" borderId="17" xfId="1" applyNumberFormat="1" applyFont="1" applyFill="1" applyBorder="1" applyAlignment="1">
      <alignment horizontal="center" vertical="top" wrapText="1"/>
    </xf>
    <xf numFmtId="170" fontId="11" fillId="11" borderId="17" xfId="1" applyNumberFormat="1" applyFont="1" applyFill="1" applyBorder="1" applyAlignment="1">
      <alignment horizontal="center" vertical="top" wrapText="1"/>
    </xf>
    <xf numFmtId="0" fontId="11" fillId="11" borderId="17" xfId="1" applyFont="1" applyFill="1" applyBorder="1" applyAlignment="1">
      <alignment horizontal="center" vertical="top"/>
    </xf>
    <xf numFmtId="0" fontId="11" fillId="11" borderId="18" xfId="1" applyFont="1" applyFill="1" applyBorder="1" applyAlignment="1">
      <alignment vertical="top" wrapText="1"/>
    </xf>
    <xf numFmtId="3" fontId="11" fillId="11" borderId="17" xfId="1" applyNumberFormat="1" applyFont="1" applyFill="1" applyBorder="1" applyAlignment="1">
      <alignment horizontal="center" vertical="top" wrapText="1"/>
    </xf>
    <xf numFmtId="166" fontId="11" fillId="11" borderId="17" xfId="1" applyNumberFormat="1" applyFont="1" applyFill="1" applyBorder="1" applyAlignment="1">
      <alignment horizontal="center" vertical="top" wrapText="1"/>
    </xf>
    <xf numFmtId="0" fontId="13" fillId="8" borderId="0" xfId="0" applyFont="1" applyFill="1" applyAlignment="1">
      <alignment vertical="top"/>
    </xf>
    <xf numFmtId="3" fontId="0" fillId="12" borderId="19" xfId="0" applyNumberFormat="1" applyFill="1" applyBorder="1" applyAlignment="1">
      <alignment horizontal="center" vertical="top"/>
    </xf>
    <xf numFmtId="3" fontId="0" fillId="12" borderId="20" xfId="0" applyNumberFormat="1" applyFill="1" applyBorder="1" applyAlignment="1">
      <alignment horizontal="center" vertical="top"/>
    </xf>
    <xf numFmtId="9" fontId="0" fillId="14" borderId="0" xfId="0" applyNumberFormat="1" applyFill="1" applyAlignment="1">
      <alignment horizontal="center" vertical="top"/>
    </xf>
    <xf numFmtId="6" fontId="14" fillId="0" borderId="0" xfId="2" applyNumberFormat="1" applyFont="1" applyFill="1" applyAlignment="1">
      <alignment horizontal="left" vertical="top"/>
    </xf>
    <xf numFmtId="168" fontId="0" fillId="7" borderId="0" xfId="0" applyNumberFormat="1" applyFill="1" applyAlignment="1">
      <alignment vertical="top"/>
    </xf>
    <xf numFmtId="3" fontId="14" fillId="8" borderId="0" xfId="2" applyNumberFormat="1" applyFont="1" applyFill="1" applyAlignment="1">
      <alignment horizontal="left" vertical="top"/>
    </xf>
    <xf numFmtId="3" fontId="0" fillId="12" borderId="23" xfId="0" applyNumberFormat="1" applyFill="1" applyBorder="1" applyAlignment="1">
      <alignment horizontal="center" vertical="top"/>
    </xf>
    <xf numFmtId="3" fontId="0" fillId="12" borderId="24" xfId="0" applyNumberFormat="1" applyFill="1" applyBorder="1" applyAlignment="1">
      <alignment horizontal="center" vertical="top"/>
    </xf>
    <xf numFmtId="172" fontId="0" fillId="12" borderId="23" xfId="0" applyNumberFormat="1" applyFill="1" applyBorder="1" applyAlignment="1">
      <alignment horizontal="center" vertical="top"/>
    </xf>
    <xf numFmtId="172" fontId="0" fillId="12" borderId="24" xfId="0" applyNumberFormat="1" applyFill="1" applyBorder="1" applyAlignment="1">
      <alignment horizontal="center" vertical="top"/>
    </xf>
    <xf numFmtId="172" fontId="0" fillId="12" borderId="21" xfId="0" applyNumberFormat="1" applyFill="1" applyBorder="1" applyAlignment="1">
      <alignment horizontal="center" vertical="top"/>
    </xf>
    <xf numFmtId="172" fontId="0" fillId="12" borderId="22" xfId="0" applyNumberFormat="1" applyFill="1" applyBorder="1" applyAlignment="1">
      <alignment horizontal="center" vertical="top"/>
    </xf>
    <xf numFmtId="0" fontId="0" fillId="7" borderId="0" xfId="0" applyNumberFormat="1" applyFill="1" applyAlignment="1">
      <alignment horizontal="center" vertical="top"/>
    </xf>
    <xf numFmtId="167" fontId="1" fillId="12" borderId="0" xfId="0" applyNumberFormat="1" applyFont="1" applyFill="1" applyAlignment="1">
      <alignment horizontal="left" vertical="top"/>
    </xf>
    <xf numFmtId="0" fontId="1" fillId="12" borderId="0" xfId="0" applyFont="1" applyFill="1" applyAlignment="1">
      <alignment vertical="top"/>
    </xf>
    <xf numFmtId="3" fontId="1" fillId="0" borderId="0" xfId="1" applyNumberFormat="1" applyFont="1" applyAlignment="1">
      <alignment vertical="top" wrapText="1"/>
    </xf>
    <xf numFmtId="0" fontId="1" fillId="0" borderId="0" xfId="0" applyFont="1" applyAlignment="1">
      <alignment vertical="top" wrapText="1"/>
    </xf>
    <xf numFmtId="169" fontId="11" fillId="11" borderId="16" xfId="1" applyNumberFormat="1" applyFont="1" applyFill="1" applyBorder="1" applyAlignment="1">
      <alignment horizontal="left" vertical="top"/>
    </xf>
    <xf numFmtId="0" fontId="11" fillId="11" borderId="17" xfId="0" applyFont="1" applyFill="1" applyBorder="1" applyAlignment="1">
      <alignment horizontal="left" vertical="top"/>
    </xf>
    <xf numFmtId="6" fontId="10" fillId="11" borderId="17" xfId="0" applyNumberFormat="1" applyFont="1" applyFill="1" applyBorder="1" applyAlignment="1">
      <alignment horizontal="center" vertical="top" wrapText="1"/>
    </xf>
    <xf numFmtId="6" fontId="10" fillId="11" borderId="17" xfId="0" applyNumberFormat="1" applyFont="1" applyFill="1" applyBorder="1" applyAlignment="1">
      <alignment horizontal="center" vertical="top"/>
    </xf>
    <xf numFmtId="170" fontId="10" fillId="11" borderId="17" xfId="0" applyNumberFormat="1" applyFont="1" applyFill="1" applyBorder="1" applyAlignment="1">
      <alignment horizontal="center" vertical="top" wrapText="1"/>
    </xf>
    <xf numFmtId="170" fontId="10" fillId="11" borderId="17" xfId="0" applyNumberFormat="1" applyFont="1" applyFill="1" applyBorder="1" applyAlignment="1">
      <alignment horizontal="center" vertical="top"/>
    </xf>
    <xf numFmtId="6" fontId="10" fillId="13" borderId="17" xfId="0" applyNumberFormat="1" applyFont="1" applyFill="1" applyBorder="1" applyAlignment="1">
      <alignment horizontal="center" vertical="top" wrapText="1"/>
    </xf>
    <xf numFmtId="6" fontId="12" fillId="16" borderId="17" xfId="1" applyNumberFormat="1" applyFont="1" applyFill="1" applyBorder="1" applyAlignment="1">
      <alignment horizontal="center" vertical="top"/>
    </xf>
    <xf numFmtId="0" fontId="10" fillId="11" borderId="18" xfId="1" applyFont="1" applyFill="1" applyBorder="1" applyAlignment="1">
      <alignment vertical="top" wrapText="1"/>
    </xf>
    <xf numFmtId="0" fontId="10" fillId="11" borderId="18" xfId="0" applyFont="1" applyFill="1" applyBorder="1" applyAlignment="1">
      <alignment vertical="top" wrapText="1"/>
    </xf>
    <xf numFmtId="0" fontId="10" fillId="13" borderId="17" xfId="1" applyFont="1" applyFill="1" applyBorder="1" applyAlignment="1">
      <alignment horizontal="center" vertical="top"/>
    </xf>
    <xf numFmtId="0" fontId="10" fillId="13" borderId="17" xfId="0" applyFont="1" applyFill="1" applyBorder="1" applyAlignment="1">
      <alignment horizontal="center" vertical="top"/>
    </xf>
    <xf numFmtId="0" fontId="10" fillId="11" borderId="16" xfId="1" applyFont="1" applyFill="1" applyBorder="1" applyAlignment="1">
      <alignment vertical="top"/>
    </xf>
    <xf numFmtId="0" fontId="10" fillId="11" borderId="16" xfId="0" applyFont="1" applyFill="1" applyBorder="1" applyAlignment="1">
      <alignment vertical="top"/>
    </xf>
    <xf numFmtId="3" fontId="10" fillId="11" borderId="17" xfId="1" applyNumberFormat="1" applyFont="1" applyFill="1" applyBorder="1" applyAlignment="1">
      <alignment vertical="top" wrapText="1"/>
    </xf>
    <xf numFmtId="0" fontId="10" fillId="11" borderId="17" xfId="0" applyFont="1" applyFill="1" applyBorder="1" applyAlignment="1">
      <alignment vertical="top" wrapText="1"/>
    </xf>
    <xf numFmtId="0" fontId="12" fillId="16" borderId="17" xfId="1" applyFont="1" applyFill="1" applyBorder="1" applyAlignment="1">
      <alignment horizontal="center" vertical="top"/>
    </xf>
    <xf numFmtId="0" fontId="12" fillId="16" borderId="17" xfId="0" applyFont="1" applyFill="1" applyBorder="1" applyAlignment="1">
      <alignment horizontal="center" vertical="top"/>
    </xf>
    <xf numFmtId="166" fontId="12" fillId="14" borderId="17" xfId="1" applyNumberFormat="1" applyFont="1" applyFill="1" applyBorder="1" applyAlignment="1">
      <alignment horizontal="center" vertical="top"/>
    </xf>
    <xf numFmtId="166" fontId="12" fillId="14" borderId="17" xfId="0" applyNumberFormat="1" applyFont="1" applyFill="1" applyBorder="1" applyAlignment="1">
      <alignment horizontal="center" vertical="top"/>
    </xf>
    <xf numFmtId="0" fontId="10" fillId="11" borderId="17" xfId="1" applyFont="1" applyFill="1" applyBorder="1" applyAlignment="1">
      <alignment horizontal="center" vertical="top"/>
    </xf>
    <xf numFmtId="0" fontId="10" fillId="11" borderId="17" xfId="0" applyFont="1" applyFill="1" applyBorder="1" applyAlignment="1">
      <alignment horizontal="center" vertical="top"/>
    </xf>
    <xf numFmtId="0" fontId="12" fillId="15" borderId="17" xfId="1" applyFont="1" applyFill="1" applyBorder="1" applyAlignment="1">
      <alignment horizontal="center" vertical="top"/>
    </xf>
    <xf numFmtId="0" fontId="12" fillId="15" borderId="17" xfId="0" applyFont="1" applyFill="1" applyBorder="1" applyAlignment="1">
      <alignment horizontal="center" vertical="top"/>
    </xf>
    <xf numFmtId="0" fontId="0" fillId="0" borderId="0" xfId="0" applyAlignment="1">
      <alignment horizontal="center" vertical="top"/>
    </xf>
    <xf numFmtId="0" fontId="0" fillId="0" borderId="0" xfId="0" applyAlignment="1">
      <alignment vertical="top" wrapText="1"/>
    </xf>
    <xf numFmtId="0" fontId="0" fillId="0" borderId="0" xfId="0" applyAlignment="1">
      <alignment vertical="top"/>
    </xf>
    <xf numFmtId="0" fontId="0" fillId="8" borderId="0" xfId="0" applyFill="1" applyAlignment="1">
      <alignment vertical="top"/>
    </xf>
    <xf numFmtId="0" fontId="14" fillId="8" borderId="0" xfId="2" applyFont="1" applyFill="1" applyAlignment="1">
      <alignment vertical="top"/>
    </xf>
    <xf numFmtId="0" fontId="0" fillId="5" borderId="0" xfId="0" applyFill="1" applyAlignment="1">
      <alignment vertical="top"/>
    </xf>
    <xf numFmtId="0" fontId="0" fillId="8" borderId="0" xfId="0" applyFill="1" applyAlignment="1">
      <alignment vertical="top" wrapText="1"/>
    </xf>
    <xf numFmtId="0" fontId="0" fillId="4" borderId="0" xfId="0" applyFill="1" applyAlignment="1">
      <alignment vertical="top" wrapText="1"/>
    </xf>
    <xf numFmtId="0" fontId="4" fillId="10" borderId="0" xfId="0" applyFont="1" applyFill="1" applyAlignment="1">
      <alignment horizontal="center" vertical="top" wrapText="1"/>
    </xf>
    <xf numFmtId="6" fontId="4" fillId="9" borderId="0" xfId="0" applyNumberFormat="1" applyFont="1" applyFill="1" applyAlignment="1">
      <alignment horizontal="center" vertical="top"/>
    </xf>
    <xf numFmtId="0" fontId="4" fillId="5" borderId="0" xfId="0" applyFont="1" applyFill="1" applyAlignment="1">
      <alignment vertical="top"/>
    </xf>
    <xf numFmtId="0" fontId="4" fillId="9" borderId="0" xfId="0" applyFont="1" applyFill="1" applyAlignment="1">
      <alignment vertical="top"/>
    </xf>
    <xf numFmtId="0" fontId="8" fillId="8" borderId="0" xfId="2" applyFill="1" applyAlignment="1">
      <alignment vertical="top" wrapText="1"/>
    </xf>
    <xf numFmtId="0" fontId="6" fillId="3" borderId="0" xfId="0" applyFont="1" applyFill="1" applyAlignment="1">
      <alignment vertical="top"/>
    </xf>
    <xf numFmtId="0" fontId="7" fillId="3" borderId="0" xfId="0" applyFont="1" applyFill="1" applyAlignment="1">
      <alignment vertical="top"/>
    </xf>
    <xf numFmtId="0" fontId="8" fillId="0" borderId="0" xfId="2" applyAlignment="1">
      <alignment vertical="top"/>
    </xf>
    <xf numFmtId="0" fontId="0" fillId="7" borderId="0" xfId="0" applyFill="1" applyAlignment="1">
      <alignment vertical="top" wrapText="1"/>
    </xf>
    <xf numFmtId="0" fontId="0" fillId="6" borderId="5" xfId="0" applyFill="1" applyBorder="1" applyAlignment="1">
      <alignment vertical="top" wrapText="1"/>
    </xf>
    <xf numFmtId="0" fontId="0" fillId="6" borderId="6" xfId="0" applyFill="1" applyBorder="1" applyAlignment="1">
      <alignment vertical="top" wrapText="1"/>
    </xf>
    <xf numFmtId="0" fontId="0" fillId="6" borderId="7" xfId="0" applyFill="1" applyBorder="1" applyAlignment="1">
      <alignment vertical="top" wrapText="1"/>
    </xf>
    <xf numFmtId="0" fontId="4" fillId="0" borderId="0" xfId="0" applyFont="1" applyAlignment="1">
      <alignment horizontal="center" vertical="top" wrapText="1"/>
    </xf>
    <xf numFmtId="0" fontId="0" fillId="8" borderId="0" xfId="0" applyFill="1" applyBorder="1" applyAlignment="1">
      <alignment vertical="top" wrapText="1"/>
    </xf>
    <xf numFmtId="0" fontId="14" fillId="8" borderId="0" xfId="2" applyFont="1" applyFill="1" applyAlignment="1">
      <alignment vertical="top" wrapText="1"/>
    </xf>
    <xf numFmtId="0" fontId="1" fillId="14" borderId="0" xfId="1" applyFill="1">
      <alignment vertical="top"/>
    </xf>
    <xf numFmtId="3" fontId="1" fillId="14" borderId="0" xfId="1" applyNumberFormat="1" applyFill="1">
      <alignment vertical="top"/>
    </xf>
    <xf numFmtId="0" fontId="2" fillId="14" borderId="0" xfId="1" applyFont="1" applyFill="1">
      <alignment vertical="top"/>
    </xf>
    <xf numFmtId="0" fontId="1" fillId="0" borderId="0" xfId="1">
      <alignment vertical="top"/>
    </xf>
    <xf numFmtId="0" fontId="15" fillId="14" borderId="0" xfId="1" applyFont="1" applyFill="1" applyAlignment="1">
      <alignment horizontal="left" vertical="top"/>
    </xf>
    <xf numFmtId="3" fontId="15" fillId="14" borderId="0" xfId="1" applyNumberFormat="1" applyFont="1" applyFill="1">
      <alignment vertical="top"/>
    </xf>
    <xf numFmtId="0" fontId="16" fillId="14" borderId="0" xfId="1" applyFont="1" applyFill="1" applyAlignment="1">
      <alignment horizontal="left" vertical="top"/>
    </xf>
    <xf numFmtId="3" fontId="2" fillId="14" borderId="0" xfId="1" applyNumberFormat="1" applyFont="1" applyFill="1">
      <alignment vertical="top"/>
    </xf>
    <xf numFmtId="0" fontId="2" fillId="14" borderId="0" xfId="0" applyFont="1" applyFill="1">
      <alignment vertical="top"/>
    </xf>
    <xf numFmtId="0" fontId="0" fillId="14" borderId="0" xfId="0" applyFill="1">
      <alignment vertical="top"/>
    </xf>
    <xf numFmtId="167" fontId="0" fillId="14" borderId="0" xfId="0" applyNumberFormat="1" applyFill="1" applyAlignment="1">
      <alignment horizontal="left" vertical="top"/>
    </xf>
    <xf numFmtId="4" fontId="2" fillId="14" borderId="0" xfId="0" applyNumberFormat="1" applyFont="1" applyFill="1" applyAlignment="1">
      <alignment horizontal="center" vertical="top"/>
    </xf>
    <xf numFmtId="3" fontId="2" fillId="14" borderId="0" xfId="0" applyNumberFormat="1" applyFont="1" applyFill="1" applyAlignment="1">
      <alignment horizontal="center" vertical="top"/>
    </xf>
    <xf numFmtId="165" fontId="2" fillId="14" borderId="0" xfId="0" applyNumberFormat="1" applyFont="1" applyFill="1" applyAlignment="1">
      <alignment horizontal="center" vertical="top"/>
    </xf>
    <xf numFmtId="4" fontId="2" fillId="0" borderId="0" xfId="0" applyNumberFormat="1" applyFont="1" applyAlignment="1">
      <alignment horizontal="center" vertical="top"/>
    </xf>
    <xf numFmtId="0" fontId="2" fillId="14" borderId="0" xfId="0" applyFont="1" applyFill="1" applyAlignment="1">
      <alignment horizontal="left" vertical="top"/>
    </xf>
    <xf numFmtId="0" fontId="2" fillId="14" borderId="0" xfId="0" quotePrefix="1" applyFont="1" applyFill="1" applyAlignment="1">
      <alignment horizontal="left" vertical="top"/>
    </xf>
    <xf numFmtId="0" fontId="17" fillId="17" borderId="0" xfId="1" applyFont="1" applyFill="1" applyAlignment="1">
      <alignment horizontal="left" vertical="top" wrapText="1"/>
    </xf>
    <xf numFmtId="0" fontId="2" fillId="14" borderId="0" xfId="0" applyFont="1" applyFill="1" applyAlignment="1">
      <alignment vertical="center"/>
    </xf>
    <xf numFmtId="0" fontId="0" fillId="14" borderId="0" xfId="0" applyFill="1" applyAlignment="1">
      <alignment vertical="center"/>
    </xf>
    <xf numFmtId="0" fontId="2" fillId="14" borderId="0" xfId="0" applyFont="1" applyFill="1" applyAlignment="1">
      <alignment horizontal="center" vertical="center"/>
    </xf>
    <xf numFmtId="4" fontId="2" fillId="14" borderId="0" xfId="0" applyNumberFormat="1" applyFont="1" applyFill="1" applyAlignment="1">
      <alignment horizontal="center" vertical="center"/>
    </xf>
    <xf numFmtId="165" fontId="2" fillId="14" borderId="0" xfId="0" applyNumberFormat="1" applyFont="1" applyFill="1" applyAlignment="1">
      <alignment horizontal="center" vertical="center"/>
    </xf>
    <xf numFmtId="4" fontId="2" fillId="0" borderId="0" xfId="0" applyNumberFormat="1" applyFont="1" applyAlignment="1">
      <alignment horizontal="center" vertical="center"/>
    </xf>
    <xf numFmtId="0" fontId="0" fillId="0" borderId="0" xfId="0" applyAlignment="1">
      <alignment vertical="center"/>
    </xf>
    <xf numFmtId="173" fontId="0" fillId="14" borderId="0" xfId="0" applyNumberFormat="1" applyFill="1">
      <alignment vertical="top"/>
    </xf>
    <xf numFmtId="0" fontId="0" fillId="0" borderId="0" xfId="0">
      <alignment vertical="top"/>
    </xf>
    <xf numFmtId="0" fontId="8" fillId="0" borderId="0" xfId="2">
      <alignment vertical="top"/>
    </xf>
  </cellXfs>
  <cellStyles count="3">
    <cellStyle name="Hyperlink" xfId="2" builtinId="8"/>
    <cellStyle name="Normal" xfId="0" builtinId="0"/>
    <cellStyle name="Normal_Blank Engineering Calculation1" xfId="1"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DDDDDD"/>
      <rgbColor rgb="0099CCFF"/>
      <rgbColor rgb="00FEBB36"/>
      <rgbColor rgb="00CC99FF"/>
      <rgbColor rgb="009A3E00"/>
      <rgbColor rgb="003366FF"/>
      <rgbColor rgb="0033CCCC"/>
      <rgbColor rgb="0099CC00"/>
      <rgbColor rgb="00FFCC00"/>
      <rgbColor rgb="00FF9900"/>
      <rgbColor rgb="00FF6600"/>
      <rgbColor rgb="00CC9900"/>
      <rgbColor rgb="00999999"/>
      <rgbColor rgb="00003366"/>
      <rgbColor rgb="00339966"/>
      <rgbColor rgb="00003300"/>
      <rgbColor rgb="00333300"/>
      <rgbColor rgb="00993300"/>
      <rgbColor rgb="00993366"/>
      <rgbColor rgb="000000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2</xdr:rowOff>
    </xdr:from>
    <xdr:to>
      <xdr:col>4</xdr:col>
      <xdr:colOff>487083</xdr:colOff>
      <xdr:row>0</xdr:row>
      <xdr:rowOff>1706420</xdr:rowOff>
    </xdr:to>
    <xdr:pic>
      <xdr:nvPicPr>
        <xdr:cNvPr id="2" name="Picture 1">
          <a:extLst>
            <a:ext uri="{FF2B5EF4-FFF2-40B4-BE49-F238E27FC236}">
              <a16:creationId xmlns:a16="http://schemas.microsoft.com/office/drawing/2014/main" id="{3C5AE7D4-01B6-48A1-8415-2C9292D70D2A}"/>
            </a:ext>
          </a:extLst>
        </xdr:cNvPr>
        <xdr:cNvPicPr>
          <a:picLocks noChangeAspect="1"/>
        </xdr:cNvPicPr>
      </xdr:nvPicPr>
      <xdr:blipFill>
        <a:blip xmlns:r="http://schemas.openxmlformats.org/officeDocument/2006/relationships" r:embed="rId1"/>
        <a:stretch>
          <a:fillRect/>
        </a:stretch>
      </xdr:blipFill>
      <xdr:spPr>
        <a:xfrm>
          <a:off x="1" y="2"/>
          <a:ext cx="3657002" cy="17064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57</xdr:row>
      <xdr:rowOff>0</xdr:rowOff>
    </xdr:from>
    <xdr:to>
      <xdr:col>27</xdr:col>
      <xdr:colOff>414191</xdr:colOff>
      <xdr:row>94</xdr:row>
      <xdr:rowOff>186126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0026313" y="17438688"/>
          <a:ext cx="13876191" cy="96000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419100</xdr:colOff>
      <xdr:row>1</xdr:row>
      <xdr:rowOff>14444</xdr:rowOff>
    </xdr:to>
    <xdr:pic>
      <xdr:nvPicPr>
        <xdr:cNvPr id="3080" name="Picture 8" descr="FDE new Logo">
          <a:extLst>
            <a:ext uri="{FF2B5EF4-FFF2-40B4-BE49-F238E27FC236}">
              <a16:creationId xmlns:a16="http://schemas.microsoft.com/office/drawing/2014/main" id="{00000000-0008-0000-0000-00000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743200" cy="11955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IT/Project%20Data/Marriott_AEP2016-2017/Utility%20Data/SFOBG%20Utilities%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mIT/Project%20Data/Marriott_AEP2016-2017/Utility%20Data/SFO%20Marriott%20Energy%20Analysis%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ual Tab H (For Accounting)"/>
      <sheetName val="Water Time Series 01"/>
      <sheetName val="Water Time Series 02"/>
      <sheetName val="Meter"/>
      <sheetName val="Accrual"/>
      <sheetName val="Rate"/>
      <sheetName val="Degree Days"/>
      <sheetName val="Statistics"/>
    </sheetNames>
    <sheetDataSet>
      <sheetData sheetId="0"/>
      <sheetData sheetId="1" refreshError="1"/>
      <sheetData sheetId="2" refreshError="1"/>
      <sheetData sheetId="3">
        <row r="43">
          <cell r="P43">
            <v>0.11893224278744143</v>
          </cell>
          <cell r="R43">
            <v>0.77551119970968507</v>
          </cell>
          <cell r="V43">
            <v>1.1580778844092849E-2</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Chart1 (3)"/>
      <sheetName val="Chart1 (2)"/>
      <sheetName val="Chart1 (4)"/>
      <sheetName val="Chart2"/>
      <sheetName val="Chart6"/>
      <sheetName val="Chart6 (2)"/>
      <sheetName val="Chart6 (3)"/>
      <sheetName val="Chart6 (4)"/>
      <sheetName val="Chart5"/>
      <sheetName val="Average Daily Data"/>
      <sheetName val="Benchmark Data"/>
      <sheetName val="Degree Day Data"/>
      <sheetName val="Occupancy Data"/>
      <sheetName val="BPD Data"/>
      <sheetName val="Source All Buildings"/>
      <sheetName val="Source Lodging"/>
      <sheetName val="Electric - Lodging"/>
      <sheetName val="Fuel - Lodg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ow r="2">
          <cell r="B2">
            <v>3.3650000000000002</v>
          </cell>
        </row>
        <row r="3">
          <cell r="B3">
            <v>1.05</v>
          </cell>
        </row>
        <row r="6">
          <cell r="B6">
            <v>660000</v>
          </cell>
        </row>
      </sheetData>
      <sheetData sheetId="12"/>
      <sheetData sheetId="13"/>
      <sheetData sheetId="14"/>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FDE Primary">
      <a:dk1>
        <a:srgbClr val="000000"/>
      </a:dk1>
      <a:lt1>
        <a:srgbClr val="FFFFFF"/>
      </a:lt1>
      <a:dk2>
        <a:srgbClr val="FFFFFF"/>
      </a:dk2>
      <a:lt2>
        <a:srgbClr val="000000"/>
      </a:lt2>
      <a:accent1>
        <a:srgbClr val="FF0000"/>
      </a:accent1>
      <a:accent2>
        <a:srgbClr val="FFFF00"/>
      </a:accent2>
      <a:accent3>
        <a:srgbClr val="FF9933"/>
      </a:accent3>
      <a:accent4>
        <a:srgbClr val="009900"/>
      </a:accent4>
      <a:accent5>
        <a:srgbClr val="0000FF"/>
      </a:accent5>
      <a:accent6>
        <a:srgbClr val="9933FF"/>
      </a:accent6>
      <a:hlink>
        <a:srgbClr val="00B0F0"/>
      </a:hlink>
      <a:folHlink>
        <a:srgbClr val="6565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av8rdas.com/hvac-equations-and-concepts.htm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Rons%20Report/Minor%20Addition%20ECM%20Implementation%20Recommendation%20Report%20(October%209,%202013).pdf" TargetMode="External"/><Relationship Id="rId13" Type="http://schemas.openxmlformats.org/officeDocument/2006/relationships/drawing" Target="../drawings/drawing2.xml"/><Relationship Id="rId3" Type="http://schemas.openxmlformats.org/officeDocument/2006/relationships/hyperlink" Target="http://cx.lbl.gov/2009-assessment.html" TargetMode="External"/><Relationship Id="rId7" Type="http://schemas.openxmlformats.org/officeDocument/2006/relationships/hyperlink" Target="http://evanmills.lbl.gov/pubs/pdf/MBCx-LBNL.pdf" TargetMode="External"/><Relationship Id="rId12" Type="http://schemas.openxmlformats.org/officeDocument/2006/relationships/printerSettings" Target="../printerSettings/printerSettings1.bin"/><Relationship Id="rId2" Type="http://schemas.openxmlformats.org/officeDocument/2006/relationships/hyperlink" Target="http://evanmills.lbl.gov/pubs/pdf/cx-costs-benefits.pdf" TargetMode="External"/><Relationship Id="rId1" Type="http://schemas.openxmlformats.org/officeDocument/2006/relationships/hyperlink" Target="http://cx.lbl.gov/2004-assessment.html" TargetMode="External"/><Relationship Id="rId6" Type="http://schemas.openxmlformats.org/officeDocument/2006/relationships/hyperlink" Target="http://evanmills.lbl.gov/pubs/pdf/MBCx-LBNL.pdf" TargetMode="External"/><Relationship Id="rId11" Type="http://schemas.openxmlformats.org/officeDocument/2006/relationships/hyperlink" Target="https://portfoliomanager.energystar.gov/pdf/reference/Source%20Energy.pdf" TargetMode="External"/><Relationship Id="rId5" Type="http://schemas.openxmlformats.org/officeDocument/2006/relationships/hyperlink" Target="http://cx.lbl.gov/mbcx.html" TargetMode="External"/><Relationship Id="rId10" Type="http://schemas.openxmlformats.org/officeDocument/2006/relationships/hyperlink" Target="https://portfoliomanager.energystar.gov/pdf/reference/Source%20Energy.pdf" TargetMode="External"/><Relationship Id="rId4" Type="http://schemas.openxmlformats.org/officeDocument/2006/relationships/hyperlink" Target="http://cx.lbl.gov/documents/2009-assessment/lbnl-cx-cost-benefit.pdf" TargetMode="External"/><Relationship Id="rId9" Type="http://schemas.openxmlformats.org/officeDocument/2006/relationships/hyperlink" Target="Rons%20Report/Minor%20Addition%20ECM%20Implementation%20Recommendation%20Report%20(October%209,%202013).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ComIT/ComIT/ComIT/Project%20Data/Marriott_AEP2016-2017/Utility%20Data/SFOBG%20Utilities%202016.xlsx" TargetMode="External"/><Relationship Id="rId2" Type="http://schemas.openxmlformats.org/officeDocument/2006/relationships/hyperlink" Target="../../../ComIT/ComIT/ComIT/Project%20Data/Marriott_AEP2016-2017/Utility%20Data/SFOBG%20Utilities%202016.xlsx" TargetMode="External"/><Relationship Id="rId1" Type="http://schemas.openxmlformats.org/officeDocument/2006/relationships/hyperlink" Target="../../../ComIT/ComIT/ComIT/Project%20Data/Marriott_AEP2016-2017/Utility%20Data/SFOBG%20Utilities%202016.xlsx" TargetMode="External"/><Relationship Id="rId6" Type="http://schemas.openxmlformats.org/officeDocument/2006/relationships/vmlDrawing" Target="../drawings/vmlDrawing1.vml"/><Relationship Id="rId5" Type="http://schemas.openxmlformats.org/officeDocument/2006/relationships/drawing" Target="../drawings/drawing3.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D119B-23F0-4216-9B40-1CA190C44C8D}">
  <dimension ref="A1:P28"/>
  <sheetViews>
    <sheetView tabSelected="1" workbookViewId="0">
      <selection activeCell="B27" sqref="B27:O28"/>
    </sheetView>
  </sheetViews>
  <sheetFormatPr defaultRowHeight="18.3" x14ac:dyDescent="0.85"/>
  <sheetData>
    <row r="1" spans="1:16" s="214" customFormat="1" ht="138.75" customHeight="1" x14ac:dyDescent="0.85">
      <c r="A1" s="211"/>
      <c r="B1" s="211"/>
      <c r="C1" s="211"/>
      <c r="D1" s="212"/>
      <c r="E1" s="213"/>
      <c r="F1" s="211"/>
      <c r="G1" s="211"/>
      <c r="H1" s="211"/>
      <c r="I1" s="211"/>
      <c r="J1" s="211"/>
      <c r="K1" s="211"/>
      <c r="L1" s="211"/>
      <c r="M1" s="211"/>
      <c r="N1" s="211"/>
    </row>
    <row r="2" spans="1:16" s="214" customFormat="1" ht="19.5" customHeight="1" x14ac:dyDescent="0.85">
      <c r="A2" s="215" t="s">
        <v>5</v>
      </c>
      <c r="B2" s="215"/>
      <c r="C2" s="211"/>
      <c r="D2" s="216"/>
      <c r="E2" s="213"/>
      <c r="F2" s="211"/>
      <c r="G2" s="211"/>
      <c r="H2" s="211"/>
      <c r="I2" s="211"/>
      <c r="J2" s="211"/>
      <c r="K2" s="211"/>
      <c r="L2" s="211"/>
      <c r="M2" s="211"/>
      <c r="N2" s="211"/>
    </row>
    <row r="3" spans="1:16" s="214" customFormat="1" ht="19.5" customHeight="1" x14ac:dyDescent="0.85">
      <c r="A3" s="215" t="s">
        <v>175</v>
      </c>
      <c r="B3" s="215"/>
      <c r="C3" s="211"/>
      <c r="D3" s="216"/>
      <c r="E3" s="213"/>
      <c r="F3" s="211"/>
      <c r="G3" s="211"/>
      <c r="H3" s="211"/>
      <c r="I3" s="211"/>
      <c r="J3" s="211"/>
      <c r="K3" s="211"/>
      <c r="L3" s="211"/>
      <c r="M3" s="211"/>
      <c r="N3" s="211"/>
    </row>
    <row r="4" spans="1:16" s="214" customFormat="1" x14ac:dyDescent="0.85">
      <c r="A4" s="217" t="s">
        <v>176</v>
      </c>
      <c r="B4" s="217"/>
      <c r="C4" s="211"/>
      <c r="D4" s="218"/>
      <c r="E4" s="213"/>
      <c r="F4" s="213"/>
      <c r="G4" s="211"/>
      <c r="H4" s="211"/>
      <c r="I4" s="211"/>
      <c r="J4" s="211"/>
      <c r="K4" s="211"/>
      <c r="L4" s="211"/>
      <c r="M4" s="211"/>
      <c r="N4" s="211"/>
    </row>
    <row r="5" spans="1:16" x14ac:dyDescent="0.85">
      <c r="A5" s="219" t="s">
        <v>4</v>
      </c>
      <c r="B5" s="219"/>
      <c r="C5" s="220"/>
      <c r="D5" s="221">
        <v>44378.789018171294</v>
      </c>
      <c r="E5" s="221"/>
      <c r="F5" s="221"/>
      <c r="G5" s="221"/>
      <c r="H5" s="222"/>
      <c r="I5" s="223"/>
      <c r="J5" s="222"/>
      <c r="K5" s="222"/>
      <c r="L5" s="222"/>
      <c r="M5" s="222"/>
      <c r="N5" s="224"/>
      <c r="O5" s="225"/>
      <c r="P5" s="225"/>
    </row>
    <row r="6" spans="1:16" x14ac:dyDescent="0.85">
      <c r="A6" s="219" t="s">
        <v>0</v>
      </c>
      <c r="B6" s="219"/>
      <c r="C6" s="220"/>
      <c r="D6" s="226"/>
      <c r="E6" s="226"/>
      <c r="F6" s="226"/>
      <c r="G6" s="226"/>
      <c r="H6" s="222"/>
      <c r="I6" s="223"/>
      <c r="J6" s="222"/>
      <c r="K6" s="222"/>
      <c r="L6" s="222"/>
      <c r="M6" s="222"/>
      <c r="N6" s="224"/>
      <c r="O6" s="225"/>
      <c r="P6" s="225"/>
    </row>
    <row r="7" spans="1:16" x14ac:dyDescent="0.85">
      <c r="A7" s="219" t="s">
        <v>1</v>
      </c>
      <c r="B7" s="219"/>
      <c r="C7" s="220"/>
      <c r="D7" s="227"/>
      <c r="E7" s="226"/>
      <c r="F7" s="226"/>
      <c r="G7" s="226"/>
      <c r="H7" s="222"/>
      <c r="I7" s="223"/>
      <c r="J7" s="222"/>
      <c r="K7" s="222"/>
      <c r="L7" s="222"/>
      <c r="M7" s="222"/>
      <c r="N7" s="224"/>
      <c r="O7" s="225"/>
      <c r="P7" s="225"/>
    </row>
    <row r="8" spans="1:16" x14ac:dyDescent="0.85">
      <c r="A8" s="219" t="s">
        <v>2</v>
      </c>
      <c r="B8" s="219"/>
      <c r="C8" s="220"/>
      <c r="D8" s="226" t="s">
        <v>177</v>
      </c>
      <c r="E8" s="226"/>
      <c r="F8" s="226"/>
      <c r="G8" s="226"/>
      <c r="H8" s="222"/>
      <c r="I8" s="223"/>
      <c r="J8" s="222"/>
      <c r="K8" s="222"/>
      <c r="L8" s="222"/>
      <c r="M8" s="222"/>
      <c r="N8" s="224"/>
      <c r="O8" s="225"/>
      <c r="P8" s="225"/>
    </row>
    <row r="9" spans="1:16" s="214" customFormat="1" ht="253.75" customHeight="1" x14ac:dyDescent="0.85">
      <c r="A9" s="228" t="s">
        <v>178</v>
      </c>
      <c r="B9" s="228"/>
      <c r="C9" s="228"/>
      <c r="D9" s="228"/>
      <c r="E9" s="228"/>
      <c r="F9" s="228"/>
      <c r="G9" s="228"/>
      <c r="H9" s="228"/>
      <c r="I9" s="228"/>
      <c r="J9" s="228"/>
      <c r="K9" s="228"/>
      <c r="L9" s="228"/>
      <c r="M9" s="228"/>
      <c r="N9" s="228"/>
      <c r="O9" s="228"/>
    </row>
    <row r="10" spans="1:16" s="235" customFormat="1" x14ac:dyDescent="0.85">
      <c r="A10" s="229" t="s">
        <v>179</v>
      </c>
      <c r="B10" s="229"/>
      <c r="C10" s="230"/>
      <c r="D10" s="231"/>
      <c r="E10" s="231"/>
      <c r="F10" s="231"/>
      <c r="G10" s="232"/>
      <c r="H10" s="232"/>
      <c r="I10" s="232"/>
      <c r="J10" s="232"/>
      <c r="K10" s="232"/>
      <c r="L10" s="232"/>
      <c r="M10" s="232"/>
      <c r="N10" s="233"/>
      <c r="O10" s="232"/>
      <c r="P10" s="234"/>
    </row>
    <row r="11" spans="1:16" x14ac:dyDescent="0.85">
      <c r="A11" s="236">
        <v>1</v>
      </c>
      <c r="B11" s="237" t="s">
        <v>180</v>
      </c>
      <c r="C11" s="237"/>
      <c r="D11" s="237"/>
      <c r="E11" s="237"/>
      <c r="F11" s="237"/>
      <c r="G11" s="237"/>
      <c r="H11" s="237"/>
      <c r="I11" s="237"/>
      <c r="J11" s="237"/>
      <c r="K11" s="237"/>
      <c r="L11" s="237"/>
      <c r="M11" s="237"/>
      <c r="N11" s="237"/>
      <c r="O11" s="237"/>
    </row>
    <row r="12" spans="1:16" x14ac:dyDescent="0.85">
      <c r="A12" s="236">
        <v>2</v>
      </c>
      <c r="B12" s="189" t="s">
        <v>181</v>
      </c>
      <c r="C12" s="189"/>
      <c r="D12" s="189"/>
      <c r="E12" s="189"/>
      <c r="F12" s="189"/>
      <c r="G12" s="189"/>
      <c r="H12" s="189"/>
      <c r="I12" s="189"/>
      <c r="J12" s="189"/>
      <c r="K12" s="189"/>
      <c r="L12" s="189"/>
      <c r="M12" s="189"/>
      <c r="N12" s="189"/>
      <c r="O12" s="189"/>
    </row>
    <row r="13" spans="1:16" x14ac:dyDescent="0.85">
      <c r="B13" s="189"/>
      <c r="C13" s="189"/>
      <c r="D13" s="189"/>
      <c r="E13" s="189"/>
      <c r="F13" s="189"/>
      <c r="G13" s="189"/>
      <c r="H13" s="189"/>
      <c r="I13" s="189"/>
      <c r="J13" s="189"/>
      <c r="K13" s="189"/>
      <c r="L13" s="189"/>
      <c r="M13" s="189"/>
      <c r="N13" s="189"/>
      <c r="O13" s="189"/>
    </row>
    <row r="14" spans="1:16" x14ac:dyDescent="0.85">
      <c r="A14" s="236">
        <v>3</v>
      </c>
      <c r="B14" s="189" t="s">
        <v>182</v>
      </c>
      <c r="C14" s="189"/>
      <c r="D14" s="189"/>
      <c r="E14" s="189"/>
      <c r="F14" s="189"/>
      <c r="G14" s="189"/>
      <c r="H14" s="189"/>
      <c r="I14" s="189"/>
      <c r="J14" s="189"/>
      <c r="K14" s="189"/>
      <c r="L14" s="189"/>
      <c r="M14" s="189"/>
      <c r="N14" s="189"/>
      <c r="O14" s="189"/>
    </row>
    <row r="15" spans="1:16" x14ac:dyDescent="0.85">
      <c r="B15" s="189"/>
      <c r="C15" s="189"/>
      <c r="D15" s="189"/>
      <c r="E15" s="189"/>
      <c r="F15" s="189"/>
      <c r="G15" s="189"/>
      <c r="H15" s="189"/>
      <c r="I15" s="189"/>
      <c r="J15" s="189"/>
      <c r="K15" s="189"/>
      <c r="L15" s="189"/>
      <c r="M15" s="189"/>
      <c r="N15" s="189"/>
      <c r="O15" s="189"/>
    </row>
    <row r="16" spans="1:16" x14ac:dyDescent="0.85">
      <c r="B16" s="189"/>
      <c r="C16" s="189"/>
      <c r="D16" s="189"/>
      <c r="E16" s="189"/>
      <c r="F16" s="189"/>
      <c r="G16" s="189"/>
      <c r="H16" s="189"/>
      <c r="I16" s="189"/>
      <c r="J16" s="189"/>
      <c r="K16" s="189"/>
      <c r="L16" s="189"/>
      <c r="M16" s="189"/>
      <c r="N16" s="189"/>
      <c r="O16" s="189"/>
    </row>
    <row r="17" spans="2:15" x14ac:dyDescent="0.85">
      <c r="B17" s="189"/>
      <c r="C17" s="189"/>
      <c r="D17" s="189"/>
      <c r="E17" s="189"/>
      <c r="F17" s="189"/>
      <c r="G17" s="189"/>
      <c r="H17" s="189"/>
      <c r="I17" s="189"/>
      <c r="J17" s="189"/>
      <c r="K17" s="189"/>
      <c r="L17" s="189"/>
      <c r="M17" s="189"/>
      <c r="N17" s="189"/>
      <c r="O17" s="189"/>
    </row>
    <row r="18" spans="2:15" x14ac:dyDescent="0.85">
      <c r="B18" s="189"/>
      <c r="C18" s="189"/>
      <c r="D18" s="189"/>
      <c r="E18" s="189"/>
      <c r="F18" s="189"/>
      <c r="G18" s="189"/>
      <c r="H18" s="189"/>
      <c r="I18" s="189"/>
      <c r="J18" s="189"/>
      <c r="K18" s="189"/>
      <c r="L18" s="189"/>
      <c r="M18" s="189"/>
      <c r="N18" s="189"/>
      <c r="O18" s="189"/>
    </row>
    <row r="19" spans="2:15" x14ac:dyDescent="0.85">
      <c r="B19" s="189"/>
      <c r="C19" s="189"/>
      <c r="D19" s="189"/>
      <c r="E19" s="189"/>
      <c r="F19" s="189"/>
      <c r="G19" s="189"/>
      <c r="H19" s="189"/>
      <c r="I19" s="189"/>
      <c r="J19" s="189"/>
      <c r="K19" s="189"/>
      <c r="L19" s="189"/>
      <c r="M19" s="189"/>
      <c r="N19" s="189"/>
      <c r="O19" s="189"/>
    </row>
    <row r="20" spans="2:15" x14ac:dyDescent="0.85">
      <c r="B20" s="189"/>
      <c r="C20" s="189"/>
      <c r="D20" s="189"/>
      <c r="E20" s="189"/>
      <c r="F20" s="189"/>
      <c r="G20" s="189"/>
      <c r="H20" s="189"/>
      <c r="I20" s="189"/>
      <c r="J20" s="189"/>
      <c r="K20" s="189"/>
      <c r="L20" s="189"/>
      <c r="M20" s="189"/>
      <c r="N20" s="189"/>
      <c r="O20" s="189"/>
    </row>
    <row r="21" spans="2:15" x14ac:dyDescent="0.85">
      <c r="B21" s="189"/>
      <c r="C21" s="189"/>
      <c r="D21" s="189"/>
      <c r="E21" s="189"/>
      <c r="F21" s="189"/>
      <c r="G21" s="189"/>
      <c r="H21" s="189"/>
      <c r="I21" s="189"/>
      <c r="J21" s="189"/>
      <c r="K21" s="189"/>
      <c r="L21" s="189"/>
      <c r="M21" s="189"/>
      <c r="N21" s="189"/>
      <c r="O21" s="189"/>
    </row>
    <row r="22" spans="2:15" x14ac:dyDescent="0.85">
      <c r="B22" s="189"/>
      <c r="C22" s="189"/>
      <c r="D22" s="189"/>
      <c r="E22" s="189"/>
      <c r="F22" s="189"/>
      <c r="G22" s="189"/>
      <c r="H22" s="189"/>
      <c r="I22" s="189"/>
      <c r="J22" s="189"/>
      <c r="K22" s="189"/>
      <c r="L22" s="189"/>
      <c r="M22" s="189"/>
      <c r="N22" s="189"/>
      <c r="O22" s="189"/>
    </row>
    <row r="23" spans="2:15" x14ac:dyDescent="0.85">
      <c r="B23" s="189"/>
      <c r="C23" s="189"/>
      <c r="D23" s="189"/>
      <c r="E23" s="189"/>
      <c r="F23" s="189"/>
      <c r="G23" s="189"/>
      <c r="H23" s="189"/>
      <c r="I23" s="189"/>
      <c r="J23" s="189"/>
      <c r="K23" s="189"/>
      <c r="L23" s="189"/>
      <c r="M23" s="189"/>
      <c r="N23" s="189"/>
      <c r="O23" s="189"/>
    </row>
    <row r="24" spans="2:15" x14ac:dyDescent="0.85">
      <c r="B24" s="189"/>
      <c r="C24" s="189"/>
      <c r="D24" s="189"/>
      <c r="E24" s="189"/>
      <c r="F24" s="189"/>
      <c r="G24" s="189"/>
      <c r="H24" s="189"/>
      <c r="I24" s="189"/>
      <c r="J24" s="189"/>
      <c r="K24" s="189"/>
      <c r="L24" s="189"/>
      <c r="M24" s="189"/>
      <c r="N24" s="189"/>
      <c r="O24" s="189"/>
    </row>
    <row r="25" spans="2:15" x14ac:dyDescent="0.85">
      <c r="B25" s="238" t="s">
        <v>183</v>
      </c>
      <c r="C25" s="238"/>
      <c r="D25" s="238"/>
      <c r="E25" s="238"/>
      <c r="F25" s="238"/>
      <c r="G25" s="238"/>
      <c r="H25" s="238"/>
      <c r="I25" s="238"/>
      <c r="J25" s="238"/>
      <c r="K25" s="238"/>
      <c r="L25" s="238"/>
      <c r="M25" s="238"/>
      <c r="N25" s="238"/>
      <c r="O25" s="238"/>
    </row>
    <row r="26" spans="2:15" x14ac:dyDescent="0.85">
      <c r="B26" s="237"/>
      <c r="C26" s="237"/>
      <c r="D26" s="237"/>
      <c r="E26" s="237"/>
      <c r="F26" s="237"/>
      <c r="G26" s="237"/>
      <c r="H26" s="237"/>
      <c r="I26" s="237"/>
      <c r="J26" s="237"/>
      <c r="K26" s="237"/>
      <c r="L26" s="237"/>
      <c r="M26" s="237"/>
      <c r="N26" s="237"/>
      <c r="O26" s="237"/>
    </row>
    <row r="27" spans="2:15" x14ac:dyDescent="0.85">
      <c r="B27" s="189" t="s">
        <v>184</v>
      </c>
      <c r="C27" s="189"/>
      <c r="D27" s="189"/>
      <c r="E27" s="189"/>
      <c r="F27" s="189"/>
      <c r="G27" s="189"/>
      <c r="H27" s="189"/>
      <c r="I27" s="189"/>
      <c r="J27" s="189"/>
      <c r="K27" s="189"/>
      <c r="L27" s="189"/>
      <c r="M27" s="189"/>
      <c r="N27" s="189"/>
      <c r="O27" s="189"/>
    </row>
    <row r="28" spans="2:15" x14ac:dyDescent="0.85">
      <c r="B28" s="189"/>
      <c r="C28" s="189"/>
      <c r="D28" s="189"/>
      <c r="E28" s="189"/>
      <c r="F28" s="189"/>
      <c r="G28" s="189"/>
      <c r="H28" s="189"/>
      <c r="I28" s="189"/>
      <c r="J28" s="189"/>
      <c r="K28" s="189"/>
      <c r="L28" s="189"/>
      <c r="M28" s="189"/>
      <c r="N28" s="189"/>
      <c r="O28" s="189"/>
    </row>
  </sheetData>
  <mergeCells count="11">
    <mergeCell ref="B25:O25"/>
    <mergeCell ref="B26:O26"/>
    <mergeCell ref="B27:O28"/>
    <mergeCell ref="B12:O13"/>
    <mergeCell ref="B14:O24"/>
    <mergeCell ref="D5:G5"/>
    <mergeCell ref="D6:G6"/>
    <mergeCell ref="D7:G7"/>
    <mergeCell ref="D8:G8"/>
    <mergeCell ref="A9:O9"/>
    <mergeCell ref="B11:O11"/>
  </mergeCells>
  <hyperlinks>
    <hyperlink ref="B25:O25" r:id="rId1" display="https://www.av8rdas.com/hvac-equations-and-concepts.html" xr:uid="{084FB969-B365-461C-A2F5-8149AD8F4D3C}"/>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2"/>
  <sheetViews>
    <sheetView zoomScale="80" zoomScaleNormal="80" workbookViewId="0">
      <selection activeCell="B7" sqref="B7:E7"/>
    </sheetView>
  </sheetViews>
  <sheetFormatPr defaultColWidth="8.7890625" defaultRowHeight="18.3" x14ac:dyDescent="0.85"/>
  <cols>
    <col min="1" max="1" width="48.08203125" style="7" bestFit="1" customWidth="1"/>
    <col min="2" max="5" width="12.70703125" style="7" customWidth="1"/>
    <col min="6" max="7" width="10.70703125" style="7" customWidth="1"/>
    <col min="8" max="8" width="55.70703125" style="7" customWidth="1"/>
    <col min="9" max="9" width="8.7890625" style="7"/>
    <col min="10" max="10" width="13.58203125" style="7" bestFit="1" customWidth="1"/>
    <col min="11" max="11" width="12.08203125" style="7" bestFit="1" customWidth="1"/>
    <col min="12" max="16384" width="8.7890625" style="7"/>
  </cols>
  <sheetData>
    <row r="1" spans="1:12" s="8" customFormat="1" x14ac:dyDescent="0.85">
      <c r="A1" s="201" t="s">
        <v>88</v>
      </c>
      <c r="B1" s="201"/>
      <c r="C1" s="201"/>
      <c r="D1" s="201"/>
      <c r="E1" s="201"/>
      <c r="F1" s="201"/>
      <c r="G1" s="201"/>
      <c r="H1" s="201"/>
      <c r="J1" s="8" t="s">
        <v>119</v>
      </c>
    </row>
    <row r="2" spans="1:12" s="8" customFormat="1" x14ac:dyDescent="0.85">
      <c r="A2" s="202" t="s">
        <v>159</v>
      </c>
      <c r="B2" s="202"/>
      <c r="C2" s="202"/>
      <c r="D2" s="202"/>
      <c r="E2" s="202"/>
      <c r="F2" s="202"/>
      <c r="G2" s="202"/>
      <c r="H2" s="202"/>
      <c r="J2" s="8" t="s">
        <v>120</v>
      </c>
      <c r="K2" s="58">
        <v>3111520</v>
      </c>
      <c r="L2" s="8" t="s">
        <v>123</v>
      </c>
    </row>
    <row r="3" spans="1:12" s="8" customFormat="1" ht="40" customHeight="1" x14ac:dyDescent="0.85">
      <c r="A3" s="189" t="s">
        <v>96</v>
      </c>
      <c r="B3" s="189"/>
      <c r="C3" s="189"/>
      <c r="D3" s="189"/>
      <c r="E3" s="189"/>
      <c r="F3" s="189"/>
      <c r="G3" s="189"/>
      <c r="H3" s="189"/>
      <c r="J3" s="8" t="s">
        <v>121</v>
      </c>
      <c r="K3" s="58">
        <v>1000</v>
      </c>
      <c r="L3" s="8" t="s">
        <v>124</v>
      </c>
    </row>
    <row r="4" spans="1:12" s="8" customFormat="1" x14ac:dyDescent="0.85">
      <c r="A4" s="8" t="s">
        <v>97</v>
      </c>
      <c r="B4" s="8" t="s">
        <v>98</v>
      </c>
      <c r="F4" s="8" t="s">
        <v>99</v>
      </c>
      <c r="J4" s="8" t="s">
        <v>122</v>
      </c>
      <c r="K4" s="59">
        <v>0.8</v>
      </c>
      <c r="L4" s="8" t="s">
        <v>125</v>
      </c>
    </row>
    <row r="5" spans="1:12" s="8" customFormat="1" ht="60" customHeight="1" x14ac:dyDescent="0.85">
      <c r="A5" s="23" t="s">
        <v>105</v>
      </c>
      <c r="B5" s="203" t="s">
        <v>100</v>
      </c>
      <c r="C5" s="203"/>
      <c r="D5" s="203"/>
      <c r="E5" s="203"/>
      <c r="F5" s="203" t="s">
        <v>101</v>
      </c>
      <c r="G5" s="203"/>
      <c r="H5" s="203"/>
      <c r="J5" s="8" t="s">
        <v>126</v>
      </c>
      <c r="K5" s="58">
        <v>100000</v>
      </c>
      <c r="L5" s="8" t="s">
        <v>126</v>
      </c>
    </row>
    <row r="6" spans="1:12" s="8" customFormat="1" ht="60" customHeight="1" x14ac:dyDescent="0.85">
      <c r="A6" s="23" t="s">
        <v>104</v>
      </c>
      <c r="B6" s="203" t="s">
        <v>102</v>
      </c>
      <c r="C6" s="203"/>
      <c r="D6" s="203"/>
      <c r="E6" s="203"/>
      <c r="F6" s="203" t="s">
        <v>103</v>
      </c>
      <c r="G6" s="203"/>
      <c r="H6" s="203"/>
      <c r="J6" s="8" t="s">
        <v>23</v>
      </c>
      <c r="K6" s="58">
        <f>((K2*K3)/K4)/K5</f>
        <v>38894</v>
      </c>
      <c r="L6" s="8" t="s">
        <v>23</v>
      </c>
    </row>
    <row r="7" spans="1:12" s="8" customFormat="1" ht="60" customHeight="1" x14ac:dyDescent="0.85">
      <c r="A7" s="23" t="s">
        <v>108</v>
      </c>
      <c r="B7" s="203" t="s">
        <v>106</v>
      </c>
      <c r="C7" s="203"/>
      <c r="D7" s="203"/>
      <c r="E7" s="203"/>
      <c r="F7" s="203" t="s">
        <v>107</v>
      </c>
      <c r="G7" s="203"/>
      <c r="H7" s="203"/>
    </row>
    <row r="8" spans="1:12" s="8" customFormat="1" ht="40" customHeight="1" x14ac:dyDescent="0.85">
      <c r="A8" s="189" t="s">
        <v>174</v>
      </c>
      <c r="B8" s="189"/>
      <c r="C8" s="189"/>
      <c r="D8" s="189"/>
      <c r="E8" s="189"/>
      <c r="F8" s="189"/>
      <c r="G8" s="189"/>
      <c r="H8" s="189"/>
    </row>
    <row r="9" spans="1:12" s="18" customFormat="1" ht="40" customHeight="1" x14ac:dyDescent="0.85">
      <c r="A9" s="189" t="s">
        <v>118</v>
      </c>
      <c r="B9" s="189"/>
      <c r="C9" s="189"/>
      <c r="D9" s="189"/>
      <c r="E9" s="189"/>
      <c r="F9" s="189"/>
      <c r="G9" s="189"/>
      <c r="H9" s="189"/>
    </row>
    <row r="10" spans="1:12" s="8" customFormat="1" ht="19.5" customHeight="1" x14ac:dyDescent="0.85">
      <c r="A10" s="204" t="s">
        <v>161</v>
      </c>
      <c r="B10" s="204"/>
      <c r="C10" s="204"/>
      <c r="D10" s="204"/>
      <c r="E10" s="204"/>
      <c r="F10" s="204"/>
      <c r="G10" s="204"/>
      <c r="H10" s="204"/>
    </row>
    <row r="11" spans="1:12" s="8" customFormat="1" ht="19.5" customHeight="1" x14ac:dyDescent="0.85">
      <c r="A11" s="195" t="s">
        <v>160</v>
      </c>
      <c r="B11" s="195"/>
      <c r="C11" s="195"/>
      <c r="D11" s="195"/>
      <c r="E11" s="195"/>
      <c r="F11" s="195"/>
      <c r="G11" s="195"/>
      <c r="H11" s="195"/>
    </row>
    <row r="12" spans="1:12" s="8" customFormat="1" ht="19.5" customHeight="1" thickBot="1" x14ac:dyDescent="0.9">
      <c r="A12" s="194" t="s">
        <v>110</v>
      </c>
      <c r="B12" s="194"/>
      <c r="C12" s="194"/>
      <c r="D12" s="194"/>
      <c r="E12" s="194"/>
      <c r="F12" s="194"/>
      <c r="G12" s="194"/>
      <c r="H12" s="194"/>
    </row>
    <row r="13" spans="1:12" s="8" customFormat="1" ht="19.5" customHeight="1" thickBot="1" x14ac:dyDescent="0.9">
      <c r="A13" s="205" t="s">
        <v>111</v>
      </c>
      <c r="B13" s="206"/>
      <c r="C13" s="206"/>
      <c r="D13" s="206"/>
      <c r="E13" s="206"/>
      <c r="F13" s="206"/>
      <c r="G13" s="206"/>
      <c r="H13" s="207"/>
    </row>
    <row r="14" spans="1:12" s="8" customFormat="1" ht="40" customHeight="1" x14ac:dyDescent="0.85">
      <c r="A14" s="194" t="s">
        <v>112</v>
      </c>
      <c r="B14" s="194"/>
      <c r="C14" s="194"/>
      <c r="D14" s="194"/>
      <c r="E14" s="194"/>
      <c r="F14" s="194"/>
      <c r="G14" s="194"/>
      <c r="H14" s="194"/>
    </row>
    <row r="15" spans="1:12" s="8" customFormat="1" x14ac:dyDescent="0.85">
      <c r="A15" s="193" t="s">
        <v>89</v>
      </c>
      <c r="B15" s="193"/>
      <c r="C15" s="193"/>
      <c r="D15" s="193"/>
      <c r="E15" s="193"/>
      <c r="F15" s="193"/>
      <c r="G15" s="193"/>
      <c r="H15" s="193"/>
    </row>
    <row r="16" spans="1:12" x14ac:dyDescent="0.85">
      <c r="A16" s="9" t="s">
        <v>44</v>
      </c>
      <c r="B16" s="151">
        <f>'Working Table'!D9</f>
        <v>0.11893224278744143</v>
      </c>
      <c r="C16" s="191" t="s">
        <v>155</v>
      </c>
      <c r="D16" s="191"/>
      <c r="E16" s="191"/>
      <c r="F16" s="191"/>
      <c r="G16" s="191"/>
      <c r="H16" s="191"/>
    </row>
    <row r="17" spans="1:8" x14ac:dyDescent="0.85">
      <c r="A17" s="9" t="s">
        <v>45</v>
      </c>
      <c r="B17" s="151">
        <f>'Working Table'!D10</f>
        <v>0.77551119970968507</v>
      </c>
      <c r="C17" s="191" t="s">
        <v>156</v>
      </c>
      <c r="D17" s="191"/>
      <c r="E17" s="191"/>
      <c r="F17" s="191"/>
      <c r="G17" s="191"/>
      <c r="H17" s="191"/>
    </row>
    <row r="18" spans="1:8" x14ac:dyDescent="0.85">
      <c r="A18" s="9" t="s">
        <v>46</v>
      </c>
      <c r="B18" s="19">
        <f>'Working Table'!D14</f>
        <v>0</v>
      </c>
      <c r="C18" s="191" t="s">
        <v>157</v>
      </c>
      <c r="D18" s="191"/>
      <c r="E18" s="191"/>
      <c r="F18" s="191"/>
      <c r="G18" s="191"/>
      <c r="H18" s="191"/>
    </row>
    <row r="19" spans="1:8" x14ac:dyDescent="0.85">
      <c r="A19" s="9" t="s">
        <v>47</v>
      </c>
      <c r="B19" s="19">
        <f>'Working Table'!D15</f>
        <v>0</v>
      </c>
      <c r="C19" s="191" t="s">
        <v>158</v>
      </c>
      <c r="D19" s="191"/>
      <c r="E19" s="191"/>
      <c r="F19" s="191"/>
      <c r="G19" s="191"/>
      <c r="H19" s="191"/>
    </row>
    <row r="20" spans="1:8" x14ac:dyDescent="0.85">
      <c r="A20" s="9" t="s">
        <v>48</v>
      </c>
      <c r="B20" s="20">
        <f>'[2]Benchmark Data'!$B$6</f>
        <v>660000</v>
      </c>
      <c r="C20" s="192" t="s">
        <v>173</v>
      </c>
      <c r="D20" s="192"/>
      <c r="E20" s="192"/>
      <c r="F20" s="192"/>
      <c r="G20" s="192"/>
      <c r="H20" s="192"/>
    </row>
    <row r="21" spans="1:8" s="55" customFormat="1" x14ac:dyDescent="0.85">
      <c r="A21" s="9" t="s">
        <v>136</v>
      </c>
      <c r="B21" s="20">
        <v>3413</v>
      </c>
      <c r="C21" s="57" t="s">
        <v>137</v>
      </c>
      <c r="D21" s="57"/>
      <c r="E21" s="57"/>
      <c r="F21" s="57"/>
      <c r="G21" s="57"/>
      <c r="H21" s="57"/>
    </row>
    <row r="22" spans="1:8" s="55" customFormat="1" x14ac:dyDescent="0.85">
      <c r="A22" s="9" t="s">
        <v>138</v>
      </c>
      <c r="B22" s="20">
        <f>B21*'[2]Benchmark Data'!$B$2</f>
        <v>11484.745000000001</v>
      </c>
      <c r="C22" s="57" t="s">
        <v>139</v>
      </c>
      <c r="D22" s="57"/>
      <c r="E22" s="57"/>
      <c r="F22" s="57"/>
      <c r="G22" s="62" t="s">
        <v>128</v>
      </c>
      <c r="H22" s="152" t="s">
        <v>172</v>
      </c>
    </row>
    <row r="23" spans="1:8" s="55" customFormat="1" x14ac:dyDescent="0.85">
      <c r="A23" s="9" t="s">
        <v>140</v>
      </c>
      <c r="B23" s="61">
        <f>'[2]Benchmark Data'!$B$3</f>
        <v>1.05</v>
      </c>
      <c r="C23" s="57" t="s">
        <v>141</v>
      </c>
      <c r="D23" s="57"/>
      <c r="E23" s="57"/>
      <c r="F23" s="57"/>
      <c r="G23" s="62" t="s">
        <v>128</v>
      </c>
      <c r="H23" s="152" t="s">
        <v>172</v>
      </c>
    </row>
    <row r="24" spans="1:8" s="55" customFormat="1" x14ac:dyDescent="0.85">
      <c r="A24" s="9"/>
      <c r="B24" s="20"/>
      <c r="C24" s="57"/>
      <c r="D24" s="57"/>
      <c r="E24" s="57"/>
      <c r="F24" s="57"/>
      <c r="G24" s="57"/>
      <c r="H24" s="57"/>
    </row>
    <row r="25" spans="1:8" s="8" customFormat="1" x14ac:dyDescent="0.85">
      <c r="A25" s="193" t="s">
        <v>113</v>
      </c>
      <c r="B25" s="193"/>
      <c r="C25" s="193"/>
      <c r="D25" s="193"/>
      <c r="E25" s="193"/>
      <c r="F25" s="193"/>
      <c r="G25" s="193"/>
      <c r="H25" s="193"/>
    </row>
    <row r="26" spans="1:8" ht="19.5" customHeight="1" x14ac:dyDescent="0.85">
      <c r="B26" s="10" t="s">
        <v>41</v>
      </c>
      <c r="C26" s="10" t="s">
        <v>16</v>
      </c>
      <c r="D26" s="56"/>
      <c r="E26" s="56"/>
      <c r="F26" s="56"/>
      <c r="G26" s="56"/>
      <c r="H26" s="56"/>
    </row>
    <row r="27" spans="1:8" ht="19.5" customHeight="1" x14ac:dyDescent="0.85">
      <c r="A27" s="9" t="s">
        <v>39</v>
      </c>
      <c r="B27" s="21"/>
      <c r="C27" s="22">
        <f>B27*B16</f>
        <v>0</v>
      </c>
      <c r="D27" s="60" t="s">
        <v>128</v>
      </c>
      <c r="E27" s="210" t="s">
        <v>173</v>
      </c>
      <c r="F27" s="210"/>
      <c r="G27" s="210"/>
      <c r="H27" s="210"/>
    </row>
    <row r="28" spans="1:8" ht="20.25" customHeight="1" thickBot="1" x14ac:dyDescent="0.9">
      <c r="A28" s="9" t="s">
        <v>40</v>
      </c>
      <c r="B28" s="21"/>
      <c r="C28" s="22">
        <f>B28*B17</f>
        <v>0</v>
      </c>
      <c r="D28" s="60" t="s">
        <v>128</v>
      </c>
      <c r="E28" s="210" t="s">
        <v>173</v>
      </c>
      <c r="F28" s="210"/>
      <c r="G28" s="210"/>
      <c r="H28" s="210"/>
    </row>
    <row r="29" spans="1:8" x14ac:dyDescent="0.85">
      <c r="A29" s="7" t="s">
        <v>42</v>
      </c>
      <c r="C29" s="63">
        <f>C27+C28</f>
        <v>0</v>
      </c>
      <c r="D29" s="190" t="s">
        <v>43</v>
      </c>
      <c r="E29" s="190"/>
      <c r="F29" s="190"/>
      <c r="G29" s="190"/>
    </row>
    <row r="30" spans="1:8" s="54" customFormat="1" x14ac:dyDescent="0.85">
      <c r="C30" s="64">
        <f>C29/B20</f>
        <v>0</v>
      </c>
      <c r="D30" s="54" t="s">
        <v>127</v>
      </c>
    </row>
    <row r="31" spans="1:8" s="55" customFormat="1" x14ac:dyDescent="0.85">
      <c r="A31" s="55" t="s">
        <v>130</v>
      </c>
      <c r="B31" s="10" t="s">
        <v>134</v>
      </c>
      <c r="C31" s="64" t="s">
        <v>135</v>
      </c>
    </row>
    <row r="32" spans="1:8" s="55" customFormat="1" x14ac:dyDescent="0.85">
      <c r="A32" s="15" t="s">
        <v>133</v>
      </c>
      <c r="B32" s="11">
        <f>((B27*B21)/1000)/B20</f>
        <v>0</v>
      </c>
      <c r="C32" s="65">
        <f>((B27*B22)/1000)/B20</f>
        <v>0</v>
      </c>
      <c r="D32" s="55" t="s">
        <v>142</v>
      </c>
      <c r="E32" s="146" t="s">
        <v>162</v>
      </c>
      <c r="F32" s="146"/>
      <c r="G32" s="146"/>
      <c r="H32" s="146"/>
    </row>
    <row r="33" spans="1:8" s="55" customFormat="1" x14ac:dyDescent="0.85">
      <c r="A33" s="15" t="s">
        <v>131</v>
      </c>
      <c r="B33" s="11">
        <f>((B28*100000)/1000)/B20</f>
        <v>0</v>
      </c>
      <c r="C33" s="65">
        <f>((B28*100000*B23)/1000)/B20</f>
        <v>0</v>
      </c>
      <c r="D33" s="55" t="s">
        <v>142</v>
      </c>
      <c r="E33" s="146" t="s">
        <v>162</v>
      </c>
      <c r="F33" s="146"/>
      <c r="G33" s="146"/>
      <c r="H33" s="146"/>
    </row>
    <row r="34" spans="1:8" s="55" customFormat="1" ht="18.600000000000001" thickBot="1" x14ac:dyDescent="0.9">
      <c r="A34" s="15" t="s">
        <v>132</v>
      </c>
      <c r="B34" s="11">
        <f>SUM(B32:B33)</f>
        <v>0</v>
      </c>
      <c r="C34" s="66">
        <f>SUM(C32:C33)</f>
        <v>0</v>
      </c>
      <c r="D34" s="55" t="s">
        <v>142</v>
      </c>
      <c r="E34" s="146" t="s">
        <v>162</v>
      </c>
      <c r="F34" s="146"/>
      <c r="G34" s="146"/>
      <c r="H34" s="146"/>
    </row>
    <row r="35" spans="1:8" s="8" customFormat="1" x14ac:dyDescent="0.85">
      <c r="A35" s="193" t="s">
        <v>90</v>
      </c>
      <c r="B35" s="193"/>
      <c r="C35" s="193"/>
      <c r="D35" s="193"/>
      <c r="E35" s="193"/>
      <c r="F35" s="193"/>
      <c r="G35" s="193"/>
      <c r="H35" s="193"/>
    </row>
    <row r="36" spans="1:8" ht="160" customHeight="1" x14ac:dyDescent="0.85">
      <c r="A36" s="9" t="s">
        <v>49</v>
      </c>
      <c r="B36" s="52">
        <v>0.16</v>
      </c>
      <c r="C36" s="50" t="s">
        <v>109</v>
      </c>
      <c r="D36" s="51"/>
      <c r="E36" s="50"/>
      <c r="F36" s="194" t="s">
        <v>114</v>
      </c>
      <c r="G36" s="194"/>
      <c r="H36" s="194"/>
    </row>
    <row r="37" spans="1:8" x14ac:dyDescent="0.85">
      <c r="B37" s="44" t="s">
        <v>18</v>
      </c>
      <c r="C37" s="44" t="s">
        <v>19</v>
      </c>
      <c r="F37" s="194"/>
      <c r="G37" s="194"/>
      <c r="H37" s="194"/>
    </row>
    <row r="38" spans="1:8" x14ac:dyDescent="0.85">
      <c r="A38" s="9" t="s">
        <v>50</v>
      </c>
      <c r="B38" s="48">
        <f>0.625*C38</f>
        <v>0.1</v>
      </c>
      <c r="C38" s="48">
        <f>B36</f>
        <v>0.16</v>
      </c>
      <c r="D38" s="191" t="s">
        <v>92</v>
      </c>
      <c r="E38" s="191"/>
      <c r="F38" s="191"/>
      <c r="G38" s="191"/>
      <c r="H38" s="191"/>
    </row>
    <row r="39" spans="1:8" x14ac:dyDescent="0.85">
      <c r="A39" s="14" t="s">
        <v>51</v>
      </c>
      <c r="B39" s="12">
        <f>B38*C29</f>
        <v>0</v>
      </c>
      <c r="C39" s="12">
        <f>C38*C29</f>
        <v>0</v>
      </c>
      <c r="D39" s="190" t="s">
        <v>43</v>
      </c>
      <c r="E39" s="190"/>
      <c r="F39" s="190"/>
      <c r="G39" s="190"/>
    </row>
    <row r="40" spans="1:8" s="68" customFormat="1" x14ac:dyDescent="0.85">
      <c r="A40" s="14" t="s">
        <v>166</v>
      </c>
      <c r="B40" s="48" t="e">
        <f>C27/C29</f>
        <v>#DIV/0!</v>
      </c>
      <c r="C40" s="17"/>
    </row>
    <row r="41" spans="1:8" s="68" customFormat="1" ht="18.600000000000001" thickBot="1" x14ac:dyDescent="0.9">
      <c r="A41" s="14" t="s">
        <v>167</v>
      </c>
      <c r="B41" s="149" t="e">
        <f>1-B40</f>
        <v>#DIV/0!</v>
      </c>
      <c r="C41" s="17"/>
    </row>
    <row r="42" spans="1:8" x14ac:dyDescent="0.85">
      <c r="A42" s="14" t="s">
        <v>52</v>
      </c>
      <c r="B42" s="147" t="e">
        <f>(B40*B39)/B16</f>
        <v>#DIV/0!</v>
      </c>
      <c r="C42" s="148" t="e">
        <f>(B40*C39)/B16</f>
        <v>#DIV/0!</v>
      </c>
      <c r="D42" s="190" t="s">
        <v>56</v>
      </c>
      <c r="E42" s="190"/>
      <c r="F42" s="190"/>
      <c r="G42" s="190"/>
    </row>
    <row r="43" spans="1:8" s="69" customFormat="1" x14ac:dyDescent="0.85">
      <c r="A43" s="14"/>
      <c r="B43" s="155" t="e">
        <f>B42*B16</f>
        <v>#DIV/0!</v>
      </c>
      <c r="C43" s="156" t="e">
        <f>C42*B16</f>
        <v>#DIV/0!</v>
      </c>
      <c r="D43" s="69" t="s">
        <v>43</v>
      </c>
    </row>
    <row r="44" spans="1:8" x14ac:dyDescent="0.85">
      <c r="A44" s="14" t="s">
        <v>53</v>
      </c>
      <c r="B44" s="153" t="e">
        <f>B45/B17</f>
        <v>#DIV/0!</v>
      </c>
      <c r="C44" s="154" t="e">
        <f>C45/B17</f>
        <v>#DIV/0!</v>
      </c>
      <c r="D44" s="190" t="s">
        <v>57</v>
      </c>
      <c r="E44" s="190"/>
      <c r="F44" s="190"/>
      <c r="G44" s="190"/>
    </row>
    <row r="45" spans="1:8" s="69" customFormat="1" ht="18.600000000000001" thickBot="1" x14ac:dyDescent="0.9">
      <c r="A45" s="14"/>
      <c r="B45" s="157" t="e">
        <f>B39-B43</f>
        <v>#DIV/0!</v>
      </c>
      <c r="C45" s="158" t="e">
        <f>C39-C43</f>
        <v>#DIV/0!</v>
      </c>
    </row>
    <row r="46" spans="1:8" s="55" customFormat="1" x14ac:dyDescent="0.85">
      <c r="A46" s="67" t="s">
        <v>143</v>
      </c>
      <c r="B46" s="10"/>
      <c r="C46" s="11"/>
    </row>
    <row r="47" spans="1:8" s="55" customFormat="1" x14ac:dyDescent="0.85">
      <c r="A47" s="67"/>
      <c r="B47" s="188" t="s">
        <v>18</v>
      </c>
      <c r="C47" s="188"/>
      <c r="D47" s="188" t="s">
        <v>19</v>
      </c>
      <c r="E47" s="188"/>
    </row>
    <row r="48" spans="1:8" s="55" customFormat="1" x14ac:dyDescent="0.85">
      <c r="A48" s="14"/>
      <c r="B48" s="11" t="s">
        <v>134</v>
      </c>
      <c r="C48" s="11" t="s">
        <v>135</v>
      </c>
      <c r="D48" s="11" t="s">
        <v>134</v>
      </c>
      <c r="E48" s="11" t="s">
        <v>135</v>
      </c>
    </row>
    <row r="49" spans="1:11" s="55" customFormat="1" x14ac:dyDescent="0.85">
      <c r="A49" s="15" t="s">
        <v>133</v>
      </c>
      <c r="B49" s="11" t="e">
        <f>(((B27-B42)*B21)/1000)/B20</f>
        <v>#DIV/0!</v>
      </c>
      <c r="C49" s="11" t="e">
        <f>(((B27-B42)*B22)/1000)/B20</f>
        <v>#DIV/0!</v>
      </c>
      <c r="D49" s="11" t="e">
        <f>(((B27-C42)*B21)/1000)/B20</f>
        <v>#DIV/0!</v>
      </c>
      <c r="E49" s="11" t="e">
        <f>(((B27-C42)*B22)/1000)/B20</f>
        <v>#DIV/0!</v>
      </c>
      <c r="F49" s="55" t="s">
        <v>142</v>
      </c>
    </row>
    <row r="50" spans="1:11" s="55" customFormat="1" x14ac:dyDescent="0.85">
      <c r="A50" s="15" t="s">
        <v>131</v>
      </c>
      <c r="B50" s="11" t="e">
        <f>(((B28-B44)*100000)/1000)/B20</f>
        <v>#DIV/0!</v>
      </c>
      <c r="C50" s="11" t="e">
        <f>((((B28-B44)*B23)*100000)/1000)/B20</f>
        <v>#DIV/0!</v>
      </c>
      <c r="D50" s="11" t="e">
        <f>(((B28-C44)*100000)/1000)/B20</f>
        <v>#DIV/0!</v>
      </c>
      <c r="E50" s="11" t="e">
        <f>((((B28-C44)*B23)*100000)/1000)/B20</f>
        <v>#DIV/0!</v>
      </c>
      <c r="F50" s="55" t="s">
        <v>142</v>
      </c>
    </row>
    <row r="51" spans="1:11" s="55" customFormat="1" x14ac:dyDescent="0.85">
      <c r="A51" s="15" t="s">
        <v>132</v>
      </c>
      <c r="B51" s="11" t="e">
        <f>SUM(B49:B50)</f>
        <v>#DIV/0!</v>
      </c>
      <c r="C51" s="11" t="e">
        <f t="shared" ref="C51:E51" si="0">SUM(C49:C50)</f>
        <v>#DIV/0!</v>
      </c>
      <c r="D51" s="11" t="e">
        <f t="shared" si="0"/>
        <v>#DIV/0!</v>
      </c>
      <c r="E51" s="11" t="e">
        <f t="shared" si="0"/>
        <v>#DIV/0!</v>
      </c>
      <c r="F51" s="55" t="s">
        <v>142</v>
      </c>
    </row>
    <row r="52" spans="1:11" x14ac:dyDescent="0.85">
      <c r="A52" s="14" t="s">
        <v>58</v>
      </c>
      <c r="B52" s="21" t="e">
        <f>AVERAGE('Working Table'!N36,'Working Table'!P36)</f>
        <v>#DIV/0!</v>
      </c>
      <c r="C52" s="21" t="e">
        <f>B52*B22</f>
        <v>#DIV/0!</v>
      </c>
      <c r="D52" s="190" t="s">
        <v>163</v>
      </c>
      <c r="E52" s="190"/>
      <c r="F52" s="190"/>
      <c r="G52" s="60" t="s">
        <v>128</v>
      </c>
      <c r="H52" s="200" t="s">
        <v>129</v>
      </c>
      <c r="I52" s="200"/>
      <c r="J52" s="200"/>
      <c r="K52" s="200"/>
    </row>
    <row r="53" spans="1:11" x14ac:dyDescent="0.85">
      <c r="A53" s="14"/>
      <c r="B53" s="22" t="e">
        <f>AVERAGE('Working Table'!O36,'Working Table'!Q36)</f>
        <v>#DIV/0!</v>
      </c>
      <c r="C53" s="22"/>
      <c r="D53" s="190" t="s">
        <v>164</v>
      </c>
      <c r="E53" s="190"/>
      <c r="F53" s="190"/>
      <c r="G53" s="56"/>
      <c r="H53" s="56"/>
    </row>
    <row r="54" spans="1:11" x14ac:dyDescent="0.85">
      <c r="A54" s="14" t="s">
        <v>59</v>
      </c>
      <c r="B54" s="13" t="e">
        <f>B52/B42</f>
        <v>#DIV/0!</v>
      </c>
      <c r="C54" s="13" t="e">
        <f>C52/C42</f>
        <v>#DIV/0!</v>
      </c>
      <c r="G54" s="56"/>
      <c r="H54" s="56"/>
    </row>
    <row r="55" spans="1:11" x14ac:dyDescent="0.85">
      <c r="A55" s="14" t="s">
        <v>61</v>
      </c>
      <c r="B55" s="21" t="e">
        <f>AVERAGE('Working Table'!T36,'Working Table'!V36)</f>
        <v>#DIV/0!</v>
      </c>
      <c r="C55" s="159" t="e">
        <f>B55*B17</f>
        <v>#DIV/0!</v>
      </c>
      <c r="D55" s="7" t="s">
        <v>165</v>
      </c>
      <c r="G55" s="60" t="s">
        <v>128</v>
      </c>
      <c r="H55" s="200" t="s">
        <v>129</v>
      </c>
      <c r="I55" s="200"/>
      <c r="J55" s="200"/>
      <c r="K55" s="200"/>
    </row>
    <row r="56" spans="1:11" x14ac:dyDescent="0.85">
      <c r="A56" s="14"/>
      <c r="B56" s="22" t="e">
        <f>B55*$B$17</f>
        <v>#DIV/0!</v>
      </c>
      <c r="C56" s="22"/>
      <c r="D56" s="7" t="s">
        <v>164</v>
      </c>
      <c r="G56" s="56"/>
      <c r="H56" s="56"/>
    </row>
    <row r="57" spans="1:11" x14ac:dyDescent="0.85">
      <c r="A57" s="14" t="s">
        <v>60</v>
      </c>
      <c r="B57" s="13" t="e">
        <f>B55/B44</f>
        <v>#DIV/0!</v>
      </c>
      <c r="C57" s="13" t="e">
        <f>C55/C44</f>
        <v>#DIV/0!</v>
      </c>
      <c r="G57" s="56"/>
      <c r="H57" s="56"/>
    </row>
    <row r="58" spans="1:11" ht="18.600000000000001" thickBot="1" x14ac:dyDescent="0.9">
      <c r="A58" s="14" t="s">
        <v>93</v>
      </c>
      <c r="B58" s="22">
        <v>0</v>
      </c>
      <c r="C58" s="22">
        <v>0</v>
      </c>
      <c r="D58" s="7" t="s">
        <v>164</v>
      </c>
      <c r="G58" s="56"/>
      <c r="H58" s="56"/>
      <c r="K58" s="7">
        <f>24621/30776</f>
        <v>0.80000649857031458</v>
      </c>
    </row>
    <row r="59" spans="1:11" x14ac:dyDescent="0.85">
      <c r="A59" s="14" t="s">
        <v>62</v>
      </c>
      <c r="B59" s="24" t="e">
        <f>B53+B56+B58</f>
        <v>#DIV/0!</v>
      </c>
      <c r="C59" s="25">
        <f>C53+C56+C58</f>
        <v>0</v>
      </c>
      <c r="D59" s="7" t="s">
        <v>164</v>
      </c>
      <c r="G59" s="56"/>
      <c r="H59" s="56"/>
    </row>
    <row r="60" spans="1:11" ht="18.600000000000001" thickBot="1" x14ac:dyDescent="0.9">
      <c r="A60" s="14"/>
      <c r="B60" s="26" t="e">
        <f>B59/B39</f>
        <v>#DIV/0!</v>
      </c>
      <c r="C60" s="27" t="e">
        <f>C59/C39</f>
        <v>#DIV/0!</v>
      </c>
      <c r="D60" s="7" t="s">
        <v>87</v>
      </c>
      <c r="G60" s="56"/>
      <c r="H60" s="56"/>
    </row>
    <row r="61" spans="1:11" x14ac:dyDescent="0.85">
      <c r="A61" s="14" t="s">
        <v>54</v>
      </c>
      <c r="B61" s="24" t="e">
        <f>B42*B18</f>
        <v>#DIV/0!</v>
      </c>
      <c r="C61" s="25" t="e">
        <f>C42*B18</f>
        <v>#DIV/0!</v>
      </c>
      <c r="D61" s="7" t="s">
        <v>16</v>
      </c>
      <c r="E61" s="194" t="s">
        <v>115</v>
      </c>
      <c r="F61" s="194"/>
      <c r="G61" s="194"/>
      <c r="H61" s="194"/>
    </row>
    <row r="62" spans="1:11" ht="18.600000000000001" thickBot="1" x14ac:dyDescent="0.9">
      <c r="A62" s="14" t="s">
        <v>55</v>
      </c>
      <c r="B62" s="28" t="e">
        <f>B44*B19</f>
        <v>#DIV/0!</v>
      </c>
      <c r="C62" s="29" t="e">
        <f>C44*B19</f>
        <v>#DIV/0!</v>
      </c>
      <c r="D62" s="7" t="s">
        <v>16</v>
      </c>
      <c r="E62" s="194"/>
      <c r="F62" s="194"/>
      <c r="G62" s="194"/>
      <c r="H62" s="194"/>
    </row>
    <row r="63" spans="1:11" s="8" customFormat="1" x14ac:dyDescent="0.85">
      <c r="A63" s="198" t="s">
        <v>63</v>
      </c>
      <c r="B63" s="198"/>
      <c r="C63" s="198"/>
      <c r="D63" s="198"/>
      <c r="E63" s="198"/>
      <c r="F63" s="198"/>
      <c r="G63" s="198"/>
      <c r="H63" s="198"/>
    </row>
    <row r="64" spans="1:11" x14ac:dyDescent="0.85">
      <c r="A64" s="9" t="s">
        <v>64</v>
      </c>
      <c r="B64" s="53">
        <v>5</v>
      </c>
      <c r="C64" s="8" t="s">
        <v>68</v>
      </c>
      <c r="D64" s="53">
        <v>10</v>
      </c>
      <c r="E64" s="7" t="s">
        <v>68</v>
      </c>
      <c r="F64" s="191" t="s">
        <v>94</v>
      </c>
      <c r="G64" s="191"/>
      <c r="H64" s="191"/>
    </row>
    <row r="65" spans="1:8" x14ac:dyDescent="0.85">
      <c r="A65" s="9" t="s">
        <v>69</v>
      </c>
      <c r="B65" s="11" t="s">
        <v>18</v>
      </c>
      <c r="C65" s="11" t="s">
        <v>19</v>
      </c>
      <c r="D65" s="11" t="s">
        <v>18</v>
      </c>
      <c r="E65" s="11" t="s">
        <v>19</v>
      </c>
      <c r="F65" s="194" t="s">
        <v>116</v>
      </c>
      <c r="G65" s="194"/>
      <c r="H65" s="194"/>
    </row>
    <row r="66" spans="1:8" x14ac:dyDescent="0.85">
      <c r="A66" s="9" t="s">
        <v>65</v>
      </c>
      <c r="B66" s="12">
        <f>B64*B39</f>
        <v>0</v>
      </c>
      <c r="C66" s="12">
        <f>B64*C39</f>
        <v>0</v>
      </c>
      <c r="D66" s="12">
        <f>D64*B39</f>
        <v>0</v>
      </c>
      <c r="E66" s="12">
        <f>D64*C39</f>
        <v>0</v>
      </c>
      <c r="F66" s="194"/>
      <c r="G66" s="194"/>
      <c r="H66" s="194"/>
    </row>
    <row r="67" spans="1:8" ht="18.600000000000001" thickBot="1" x14ac:dyDescent="0.9">
      <c r="A67" s="9" t="s">
        <v>66</v>
      </c>
      <c r="B67" s="12" t="e">
        <f>B61+B62</f>
        <v>#DIV/0!</v>
      </c>
      <c r="C67" s="12" t="e">
        <f>C62+C61</f>
        <v>#DIV/0!</v>
      </c>
      <c r="D67" s="12" t="e">
        <f>B67</f>
        <v>#DIV/0!</v>
      </c>
      <c r="E67" s="12" t="e">
        <f>C67</f>
        <v>#DIV/0!</v>
      </c>
      <c r="F67" s="194"/>
      <c r="G67" s="194"/>
      <c r="H67" s="194"/>
    </row>
    <row r="68" spans="1:8" ht="18.600000000000001" thickBot="1" x14ac:dyDescent="0.9">
      <c r="A68" s="9" t="s">
        <v>67</v>
      </c>
      <c r="B68" s="30" t="e">
        <f>B66+B67</f>
        <v>#DIV/0!</v>
      </c>
      <c r="C68" s="31" t="e">
        <f t="shared" ref="C68:E68" si="1">C66+C67</f>
        <v>#DIV/0!</v>
      </c>
      <c r="D68" s="31" t="e">
        <f t="shared" si="1"/>
        <v>#DIV/0!</v>
      </c>
      <c r="E68" s="32" t="e">
        <f t="shared" si="1"/>
        <v>#DIV/0!</v>
      </c>
      <c r="F68" s="194"/>
      <c r="G68" s="194"/>
      <c r="H68" s="194"/>
    </row>
    <row r="69" spans="1:8" s="8" customFormat="1" x14ac:dyDescent="0.85">
      <c r="A69" s="198" t="s">
        <v>70</v>
      </c>
      <c r="B69" s="198"/>
      <c r="C69" s="198"/>
      <c r="D69" s="198"/>
      <c r="E69" s="198"/>
      <c r="F69" s="198"/>
      <c r="G69" s="198"/>
      <c r="H69" s="198"/>
    </row>
    <row r="70" spans="1:8" x14ac:dyDescent="0.85">
      <c r="A70" s="199" t="s">
        <v>71</v>
      </c>
      <c r="B70" s="197" t="s">
        <v>85</v>
      </c>
      <c r="C70" s="197"/>
      <c r="D70" s="197"/>
      <c r="E70" s="197"/>
      <c r="F70" s="197"/>
      <c r="G70" s="197"/>
      <c r="H70" s="209" t="s">
        <v>117</v>
      </c>
    </row>
    <row r="71" spans="1:8" ht="39" customHeight="1" x14ac:dyDescent="0.85">
      <c r="A71" s="199"/>
      <c r="B71" s="196" t="s">
        <v>83</v>
      </c>
      <c r="C71" s="196"/>
      <c r="D71" s="196"/>
      <c r="E71" s="208" t="s">
        <v>84</v>
      </c>
      <c r="F71" s="208"/>
      <c r="G71" s="208"/>
      <c r="H71" s="209"/>
    </row>
    <row r="72" spans="1:8" x14ac:dyDescent="0.85">
      <c r="A72" s="199"/>
      <c r="B72" s="45" t="s">
        <v>72</v>
      </c>
      <c r="C72" s="43" t="s">
        <v>16</v>
      </c>
      <c r="D72" s="45" t="s">
        <v>91</v>
      </c>
      <c r="E72" s="43" t="s">
        <v>72</v>
      </c>
      <c r="F72" s="45" t="s">
        <v>16</v>
      </c>
      <c r="G72" s="43" t="s">
        <v>91</v>
      </c>
      <c r="H72" s="209"/>
    </row>
    <row r="73" spans="1:8" ht="18.600000000000001" thickBot="1" x14ac:dyDescent="0.9">
      <c r="A73" s="39" t="s">
        <v>73</v>
      </c>
      <c r="B73" s="13"/>
      <c r="C73" s="12"/>
      <c r="D73" s="17"/>
      <c r="E73" s="13"/>
      <c r="F73" s="17"/>
      <c r="G73" s="17"/>
      <c r="H73" s="209"/>
    </row>
    <row r="74" spans="1:8" ht="19.5" customHeight="1" x14ac:dyDescent="0.85">
      <c r="A74" s="16" t="s">
        <v>79</v>
      </c>
      <c r="B74" s="48">
        <v>0.02</v>
      </c>
      <c r="C74" s="24" t="e">
        <f t="shared" ref="C74:C83" si="2">B74*AVERAGE($B$68:$C$68)</f>
        <v>#DIV/0!</v>
      </c>
      <c r="D74" s="34" t="e">
        <f>C74/$B$20</f>
        <v>#DIV/0!</v>
      </c>
      <c r="E74" s="48">
        <v>0.09</v>
      </c>
      <c r="F74" s="24" t="e">
        <f>E74*AVERAGE($B$68:$C$68)</f>
        <v>#DIV/0!</v>
      </c>
      <c r="G74" s="34" t="e">
        <f t="shared" ref="G74:G83" si="3">F74/$B$20</f>
        <v>#DIV/0!</v>
      </c>
      <c r="H74" s="209"/>
    </row>
    <row r="75" spans="1:8" x14ac:dyDescent="0.85">
      <c r="A75" s="16" t="s">
        <v>80</v>
      </c>
      <c r="B75" s="33">
        <f>B79-(B78+B77+B74)</f>
        <v>0.24</v>
      </c>
      <c r="C75" s="35" t="e">
        <f t="shared" si="2"/>
        <v>#DIV/0!</v>
      </c>
      <c r="D75" s="36" t="e">
        <f t="shared" ref="D75:D83" si="4">C75/$B$20</f>
        <v>#DIV/0!</v>
      </c>
      <c r="E75" s="33">
        <f>E79-(E78+E77+E74)</f>
        <v>0.29000000000000004</v>
      </c>
      <c r="F75" s="35" t="e">
        <f t="shared" ref="F75:F83" si="5">E75*AVERAGE($B$68:$C$68)</f>
        <v>#DIV/0!</v>
      </c>
      <c r="G75" s="36" t="e">
        <f t="shared" si="3"/>
        <v>#DIV/0!</v>
      </c>
      <c r="H75" s="209"/>
    </row>
    <row r="76" spans="1:8" x14ac:dyDescent="0.85">
      <c r="A76" s="15" t="s">
        <v>81</v>
      </c>
      <c r="B76" s="47">
        <f>B74+B75</f>
        <v>0.26</v>
      </c>
      <c r="C76" s="37" t="e">
        <f t="shared" si="2"/>
        <v>#DIV/0!</v>
      </c>
      <c r="D76" s="38" t="e">
        <f t="shared" si="4"/>
        <v>#DIV/0!</v>
      </c>
      <c r="E76" s="47">
        <f>E74+E75</f>
        <v>0.38</v>
      </c>
      <c r="F76" s="37" t="e">
        <f t="shared" si="5"/>
        <v>#DIV/0!</v>
      </c>
      <c r="G76" s="38" t="e">
        <f t="shared" si="3"/>
        <v>#DIV/0!</v>
      </c>
      <c r="H76" s="209"/>
    </row>
    <row r="77" spans="1:8" x14ac:dyDescent="0.85">
      <c r="A77" s="15" t="s">
        <v>74</v>
      </c>
      <c r="B77" s="48">
        <v>0.03</v>
      </c>
      <c r="C77" s="35" t="e">
        <f t="shared" si="2"/>
        <v>#DIV/0!</v>
      </c>
      <c r="D77" s="36" t="e">
        <f t="shared" si="4"/>
        <v>#DIV/0!</v>
      </c>
      <c r="E77" s="48">
        <v>0.12</v>
      </c>
      <c r="F77" s="35" t="e">
        <f t="shared" si="5"/>
        <v>#DIV/0!</v>
      </c>
      <c r="G77" s="36" t="e">
        <f t="shared" si="3"/>
        <v>#DIV/0!</v>
      </c>
      <c r="H77" s="209"/>
    </row>
    <row r="78" spans="1:8" x14ac:dyDescent="0.85">
      <c r="A78" s="15" t="s">
        <v>75</v>
      </c>
      <c r="B78" s="48">
        <v>0.01</v>
      </c>
      <c r="C78" s="35" t="e">
        <f t="shared" si="2"/>
        <v>#DIV/0!</v>
      </c>
      <c r="D78" s="36" t="e">
        <f t="shared" si="4"/>
        <v>#DIV/0!</v>
      </c>
      <c r="E78" s="48">
        <v>0.01</v>
      </c>
      <c r="F78" s="35" t="e">
        <f t="shared" si="5"/>
        <v>#DIV/0!</v>
      </c>
      <c r="G78" s="36" t="e">
        <f t="shared" si="3"/>
        <v>#DIV/0!</v>
      </c>
      <c r="H78" s="209"/>
    </row>
    <row r="79" spans="1:8" x14ac:dyDescent="0.85">
      <c r="A79" s="40" t="s">
        <v>82</v>
      </c>
      <c r="B79" s="49">
        <v>0.3</v>
      </c>
      <c r="C79" s="37" t="e">
        <f t="shared" si="2"/>
        <v>#DIV/0!</v>
      </c>
      <c r="D79" s="38" t="e">
        <f t="shared" si="4"/>
        <v>#DIV/0!</v>
      </c>
      <c r="E79" s="49">
        <v>0.51</v>
      </c>
      <c r="F79" s="37" t="e">
        <f t="shared" si="5"/>
        <v>#DIV/0!</v>
      </c>
      <c r="G79" s="38" t="e">
        <f t="shared" si="3"/>
        <v>#DIV/0!</v>
      </c>
      <c r="H79" s="209"/>
    </row>
    <row r="80" spans="1:8" x14ac:dyDescent="0.85">
      <c r="A80" s="39" t="s">
        <v>78</v>
      </c>
      <c r="B80" s="49">
        <v>0</v>
      </c>
      <c r="C80" s="37" t="e">
        <f t="shared" si="2"/>
        <v>#DIV/0!</v>
      </c>
      <c r="D80" s="38" t="e">
        <f t="shared" si="4"/>
        <v>#DIV/0!</v>
      </c>
      <c r="E80" s="49">
        <v>0</v>
      </c>
      <c r="F80" s="37" t="e">
        <f t="shared" si="5"/>
        <v>#DIV/0!</v>
      </c>
      <c r="G80" s="38" t="e">
        <f t="shared" si="3"/>
        <v>#DIV/0!</v>
      </c>
      <c r="H80" s="209"/>
    </row>
    <row r="81" spans="1:8" x14ac:dyDescent="0.85">
      <c r="A81" s="39" t="s">
        <v>76</v>
      </c>
      <c r="B81" s="47">
        <f>B83-(B82+B80+B79)</f>
        <v>0.67999999999999994</v>
      </c>
      <c r="C81" s="37" t="e">
        <f t="shared" si="2"/>
        <v>#DIV/0!</v>
      </c>
      <c r="D81" s="38" t="e">
        <f t="shared" si="4"/>
        <v>#DIV/0!</v>
      </c>
      <c r="E81" s="47">
        <f>E83-(E82+E80+E79)</f>
        <v>0.43999999999999995</v>
      </c>
      <c r="F81" s="37" t="e">
        <f t="shared" si="5"/>
        <v>#DIV/0!</v>
      </c>
      <c r="G81" s="38" t="e">
        <f t="shared" si="3"/>
        <v>#DIV/0!</v>
      </c>
      <c r="H81" s="209"/>
    </row>
    <row r="82" spans="1:8" x14ac:dyDescent="0.85">
      <c r="A82" s="39" t="s">
        <v>77</v>
      </c>
      <c r="B82" s="49">
        <v>0.02</v>
      </c>
      <c r="C82" s="37" t="e">
        <f t="shared" si="2"/>
        <v>#DIV/0!</v>
      </c>
      <c r="D82" s="38" t="e">
        <f t="shared" si="4"/>
        <v>#DIV/0!</v>
      </c>
      <c r="E82" s="49">
        <v>0.05</v>
      </c>
      <c r="F82" s="37" t="e">
        <f t="shared" si="5"/>
        <v>#DIV/0!</v>
      </c>
      <c r="G82" s="38" t="e">
        <f t="shared" si="3"/>
        <v>#DIV/0!</v>
      </c>
      <c r="H82" s="209"/>
    </row>
    <row r="83" spans="1:8" ht="18.600000000000001" thickBot="1" x14ac:dyDescent="0.9">
      <c r="A83" s="39" t="s">
        <v>42</v>
      </c>
      <c r="B83" s="49">
        <v>1</v>
      </c>
      <c r="C83" s="41" t="e">
        <f t="shared" si="2"/>
        <v>#DIV/0!</v>
      </c>
      <c r="D83" s="42" t="e">
        <f t="shared" si="4"/>
        <v>#DIV/0!</v>
      </c>
      <c r="E83" s="49">
        <v>1</v>
      </c>
      <c r="F83" s="41" t="e">
        <f t="shared" si="5"/>
        <v>#DIV/0!</v>
      </c>
      <c r="G83" s="42" t="e">
        <f t="shared" si="3"/>
        <v>#DIV/0!</v>
      </c>
      <c r="H83" s="209"/>
    </row>
    <row r="84" spans="1:8" x14ac:dyDescent="0.85">
      <c r="B84" s="13"/>
      <c r="C84" s="12"/>
      <c r="D84" s="13"/>
      <c r="E84" s="8"/>
      <c r="F84" s="8"/>
      <c r="H84" s="209"/>
    </row>
    <row r="85" spans="1:8" x14ac:dyDescent="0.85">
      <c r="A85" s="7" t="s">
        <v>86</v>
      </c>
      <c r="B85" s="13">
        <f>SUM(B74+B75+B77+B78+B80+B81+B82)</f>
        <v>1</v>
      </c>
      <c r="C85" s="17" t="e">
        <f>C79+C80+C81+C82</f>
        <v>#DIV/0!</v>
      </c>
      <c r="D85" s="10"/>
      <c r="E85" s="13">
        <f>SUM(E74+E75+E77+E78+E80+E81+E82)</f>
        <v>1</v>
      </c>
      <c r="F85" s="17" t="e">
        <f>F79+F80+F81+F82</f>
        <v>#DIV/0!</v>
      </c>
      <c r="H85" s="209"/>
    </row>
    <row r="86" spans="1:8" x14ac:dyDescent="0.85">
      <c r="H86" s="209"/>
    </row>
    <row r="87" spans="1:8" ht="19.5" customHeight="1" x14ac:dyDescent="0.85">
      <c r="A87" s="199" t="s">
        <v>71</v>
      </c>
      <c r="B87" s="197" t="s">
        <v>95</v>
      </c>
      <c r="C87" s="197"/>
      <c r="D87" s="197"/>
      <c r="E87" s="197"/>
      <c r="F87" s="197"/>
      <c r="G87" s="197"/>
      <c r="H87" s="209"/>
    </row>
    <row r="88" spans="1:8" x14ac:dyDescent="0.85">
      <c r="A88" s="199"/>
      <c r="B88" s="196" t="s">
        <v>83</v>
      </c>
      <c r="C88" s="196"/>
      <c r="D88" s="196"/>
      <c r="E88" s="208" t="s">
        <v>84</v>
      </c>
      <c r="F88" s="208"/>
      <c r="G88" s="208"/>
      <c r="H88" s="209"/>
    </row>
    <row r="89" spans="1:8" x14ac:dyDescent="0.85">
      <c r="A89" s="199"/>
      <c r="B89" s="45" t="s">
        <v>72</v>
      </c>
      <c r="C89" s="43" t="s">
        <v>16</v>
      </c>
      <c r="D89" s="45" t="s">
        <v>91</v>
      </c>
      <c r="E89" s="43" t="s">
        <v>72</v>
      </c>
      <c r="F89" s="45" t="s">
        <v>16</v>
      </c>
      <c r="G89" s="43" t="s">
        <v>91</v>
      </c>
      <c r="H89" s="209"/>
    </row>
    <row r="90" spans="1:8" ht="18.600000000000001" thickBot="1" x14ac:dyDescent="0.9">
      <c r="A90" s="39" t="s">
        <v>73</v>
      </c>
      <c r="B90" s="13"/>
      <c r="C90" s="17"/>
      <c r="D90" s="17"/>
      <c r="E90" s="13"/>
      <c r="F90" s="17"/>
      <c r="G90" s="17"/>
      <c r="H90" s="209"/>
    </row>
    <row r="91" spans="1:8" x14ac:dyDescent="0.85">
      <c r="A91" s="16" t="s">
        <v>79</v>
      </c>
      <c r="B91" s="48">
        <v>0.02</v>
      </c>
      <c r="C91" s="46" t="e">
        <f>B91*AVERAGE($D$68:$E$68)</f>
        <v>#DIV/0!</v>
      </c>
      <c r="D91" s="34" t="e">
        <f>C91/$B$20</f>
        <v>#DIV/0!</v>
      </c>
      <c r="E91" s="48">
        <v>0.09</v>
      </c>
      <c r="F91" s="24" t="e">
        <f>E91*AVERAGE($D$68:$E$68)</f>
        <v>#DIV/0!</v>
      </c>
      <c r="G91" s="34" t="e">
        <f t="shared" ref="G91:G100" si="6">F91/$B$20</f>
        <v>#DIV/0!</v>
      </c>
      <c r="H91" s="209"/>
    </row>
    <row r="92" spans="1:8" x14ac:dyDescent="0.85">
      <c r="A92" s="16" t="s">
        <v>80</v>
      </c>
      <c r="B92" s="33">
        <f>B96-(B95+B94+B91)</f>
        <v>0.24</v>
      </c>
      <c r="C92" s="35" t="e">
        <f t="shared" ref="C92:C100" si="7">B92*AVERAGE($D$68:$E$68)</f>
        <v>#DIV/0!</v>
      </c>
      <c r="D92" s="36" t="e">
        <f t="shared" ref="D92:D100" si="8">C92/$B$20</f>
        <v>#DIV/0!</v>
      </c>
      <c r="E92" s="33">
        <f>E96-(E95+E94+E91)</f>
        <v>0.29000000000000004</v>
      </c>
      <c r="F92" s="35" t="e">
        <f t="shared" ref="F92:F100" si="9">E92*AVERAGE($D$68:$E$68)</f>
        <v>#DIV/0!</v>
      </c>
      <c r="G92" s="36" t="e">
        <f t="shared" si="6"/>
        <v>#DIV/0!</v>
      </c>
      <c r="H92" s="209"/>
    </row>
    <row r="93" spans="1:8" x14ac:dyDescent="0.85">
      <c r="A93" s="15" t="s">
        <v>81</v>
      </c>
      <c r="B93" s="47">
        <f>B91+B92</f>
        <v>0.26</v>
      </c>
      <c r="C93" s="37" t="e">
        <f t="shared" si="7"/>
        <v>#DIV/0!</v>
      </c>
      <c r="D93" s="38" t="e">
        <f t="shared" si="8"/>
        <v>#DIV/0!</v>
      </c>
      <c r="E93" s="47">
        <f>E91+E92</f>
        <v>0.38</v>
      </c>
      <c r="F93" s="37" t="e">
        <f t="shared" si="9"/>
        <v>#DIV/0!</v>
      </c>
      <c r="G93" s="38" t="e">
        <f t="shared" si="6"/>
        <v>#DIV/0!</v>
      </c>
      <c r="H93" s="209"/>
    </row>
    <row r="94" spans="1:8" x14ac:dyDescent="0.85">
      <c r="A94" s="15" t="s">
        <v>74</v>
      </c>
      <c r="B94" s="48">
        <v>0.03</v>
      </c>
      <c r="C94" s="35" t="e">
        <f t="shared" si="7"/>
        <v>#DIV/0!</v>
      </c>
      <c r="D94" s="36" t="e">
        <f t="shared" si="8"/>
        <v>#DIV/0!</v>
      </c>
      <c r="E94" s="48">
        <v>0.12</v>
      </c>
      <c r="F94" s="35" t="e">
        <f t="shared" si="9"/>
        <v>#DIV/0!</v>
      </c>
      <c r="G94" s="36" t="e">
        <f t="shared" si="6"/>
        <v>#DIV/0!</v>
      </c>
      <c r="H94" s="209"/>
    </row>
    <row r="95" spans="1:8" x14ac:dyDescent="0.85">
      <c r="A95" s="15" t="s">
        <v>75</v>
      </c>
      <c r="B95" s="48">
        <v>0.01</v>
      </c>
      <c r="C95" s="35" t="e">
        <f t="shared" si="7"/>
        <v>#DIV/0!</v>
      </c>
      <c r="D95" s="36" t="e">
        <f t="shared" si="8"/>
        <v>#DIV/0!</v>
      </c>
      <c r="E95" s="48">
        <v>0.01</v>
      </c>
      <c r="F95" s="35" t="e">
        <f t="shared" si="9"/>
        <v>#DIV/0!</v>
      </c>
      <c r="G95" s="36" t="e">
        <f t="shared" si="6"/>
        <v>#DIV/0!</v>
      </c>
      <c r="H95" s="209"/>
    </row>
    <row r="96" spans="1:8" x14ac:dyDescent="0.85">
      <c r="A96" s="40" t="s">
        <v>82</v>
      </c>
      <c r="B96" s="49">
        <v>0.3</v>
      </c>
      <c r="C96" s="37" t="e">
        <f t="shared" si="7"/>
        <v>#DIV/0!</v>
      </c>
      <c r="D96" s="38" t="e">
        <f t="shared" si="8"/>
        <v>#DIV/0!</v>
      </c>
      <c r="E96" s="49">
        <v>0.51</v>
      </c>
      <c r="F96" s="37" t="e">
        <f t="shared" si="9"/>
        <v>#DIV/0!</v>
      </c>
      <c r="G96" s="38" t="e">
        <f t="shared" si="6"/>
        <v>#DIV/0!</v>
      </c>
      <c r="H96" s="209"/>
    </row>
    <row r="97" spans="1:8" x14ac:dyDescent="0.85">
      <c r="A97" s="39" t="s">
        <v>78</v>
      </c>
      <c r="B97" s="49">
        <v>0.1</v>
      </c>
      <c r="C97" s="37" t="e">
        <f t="shared" si="7"/>
        <v>#DIV/0!</v>
      </c>
      <c r="D97" s="38" t="e">
        <f t="shared" si="8"/>
        <v>#DIV/0!</v>
      </c>
      <c r="E97" s="49">
        <v>0.1</v>
      </c>
      <c r="F97" s="37" t="e">
        <f t="shared" si="9"/>
        <v>#DIV/0!</v>
      </c>
      <c r="G97" s="38" t="e">
        <f t="shared" si="6"/>
        <v>#DIV/0!</v>
      </c>
      <c r="H97" s="209"/>
    </row>
    <row r="98" spans="1:8" x14ac:dyDescent="0.85">
      <c r="A98" s="39" t="s">
        <v>76</v>
      </c>
      <c r="B98" s="47">
        <f>B100-(B99+B97+B96)</f>
        <v>0.58000000000000007</v>
      </c>
      <c r="C98" s="37" t="e">
        <f t="shared" si="7"/>
        <v>#DIV/0!</v>
      </c>
      <c r="D98" s="38" t="e">
        <f t="shared" si="8"/>
        <v>#DIV/0!</v>
      </c>
      <c r="E98" s="47">
        <f>E100-(E99+E97+E96)</f>
        <v>0.33999999999999997</v>
      </c>
      <c r="F98" s="37" t="e">
        <f t="shared" si="9"/>
        <v>#DIV/0!</v>
      </c>
      <c r="G98" s="38" t="e">
        <f t="shared" si="6"/>
        <v>#DIV/0!</v>
      </c>
      <c r="H98" s="209"/>
    </row>
    <row r="99" spans="1:8" x14ac:dyDescent="0.85">
      <c r="A99" s="39" t="s">
        <v>77</v>
      </c>
      <c r="B99" s="49">
        <v>0.02</v>
      </c>
      <c r="C99" s="37" t="e">
        <f t="shared" si="7"/>
        <v>#DIV/0!</v>
      </c>
      <c r="D99" s="38" t="e">
        <f t="shared" si="8"/>
        <v>#DIV/0!</v>
      </c>
      <c r="E99" s="49">
        <v>0.05</v>
      </c>
      <c r="F99" s="37" t="e">
        <f t="shared" si="9"/>
        <v>#DIV/0!</v>
      </c>
      <c r="G99" s="38" t="e">
        <f t="shared" si="6"/>
        <v>#DIV/0!</v>
      </c>
      <c r="H99" s="209"/>
    </row>
    <row r="100" spans="1:8" ht="18.600000000000001" thickBot="1" x14ac:dyDescent="0.9">
      <c r="A100" s="39" t="s">
        <v>42</v>
      </c>
      <c r="B100" s="49">
        <v>1</v>
      </c>
      <c r="C100" s="41" t="e">
        <f t="shared" si="7"/>
        <v>#DIV/0!</v>
      </c>
      <c r="D100" s="42" t="e">
        <f t="shared" si="8"/>
        <v>#DIV/0!</v>
      </c>
      <c r="E100" s="49">
        <v>1</v>
      </c>
      <c r="F100" s="41" t="e">
        <f t="shared" si="9"/>
        <v>#DIV/0!</v>
      </c>
      <c r="G100" s="42" t="e">
        <f t="shared" si="6"/>
        <v>#DIV/0!</v>
      </c>
      <c r="H100" s="209"/>
    </row>
    <row r="101" spans="1:8" x14ac:dyDescent="0.85">
      <c r="A101" s="8"/>
      <c r="B101" s="13"/>
      <c r="C101" s="17"/>
      <c r="D101" s="13"/>
      <c r="E101" s="8"/>
      <c r="F101" s="8"/>
      <c r="G101" s="8"/>
      <c r="H101" s="209"/>
    </row>
    <row r="102" spans="1:8" x14ac:dyDescent="0.85">
      <c r="A102" s="8" t="s">
        <v>86</v>
      </c>
      <c r="B102" s="13">
        <f>SUM(B91+B92+B94+B95+B97+B98+B99)</f>
        <v>1</v>
      </c>
      <c r="C102" s="17" t="e">
        <f>C96+C97+C98+C99</f>
        <v>#DIV/0!</v>
      </c>
      <c r="D102" s="10"/>
      <c r="E102" s="13">
        <f>SUM(E91+E92+E94+E95+E97+E98+E99)</f>
        <v>1</v>
      </c>
      <c r="F102" s="17" t="e">
        <f>F96+F97+F98+F99</f>
        <v>#DIV/0!</v>
      </c>
      <c r="G102" s="8"/>
      <c r="H102" s="209"/>
    </row>
  </sheetData>
  <mergeCells count="52">
    <mergeCell ref="E28:H28"/>
    <mergeCell ref="E71:G71"/>
    <mergeCell ref="A87:A89"/>
    <mergeCell ref="B87:G87"/>
    <mergeCell ref="B88:D88"/>
    <mergeCell ref="E88:G88"/>
    <mergeCell ref="D38:H38"/>
    <mergeCell ref="E61:H62"/>
    <mergeCell ref="F65:H68"/>
    <mergeCell ref="F64:H64"/>
    <mergeCell ref="A63:H63"/>
    <mergeCell ref="D52:F52"/>
    <mergeCell ref="H70:H102"/>
    <mergeCell ref="A1:H1"/>
    <mergeCell ref="A15:H15"/>
    <mergeCell ref="C16:H16"/>
    <mergeCell ref="C17:H17"/>
    <mergeCell ref="C18:H18"/>
    <mergeCell ref="A2:H2"/>
    <mergeCell ref="A9:H9"/>
    <mergeCell ref="A3:H3"/>
    <mergeCell ref="B5:E5"/>
    <mergeCell ref="F5:H5"/>
    <mergeCell ref="B6:E6"/>
    <mergeCell ref="F6:H6"/>
    <mergeCell ref="B7:E7"/>
    <mergeCell ref="F7:H7"/>
    <mergeCell ref="A14:H14"/>
    <mergeCell ref="A10:H10"/>
    <mergeCell ref="B71:D71"/>
    <mergeCell ref="B70:G70"/>
    <mergeCell ref="A69:H69"/>
    <mergeCell ref="A70:A72"/>
    <mergeCell ref="H52:K52"/>
    <mergeCell ref="H55:K55"/>
    <mergeCell ref="D53:F53"/>
    <mergeCell ref="B47:C47"/>
    <mergeCell ref="D47:E47"/>
    <mergeCell ref="A8:H8"/>
    <mergeCell ref="D29:G29"/>
    <mergeCell ref="D39:G39"/>
    <mergeCell ref="D42:G42"/>
    <mergeCell ref="D44:G44"/>
    <mergeCell ref="C19:H19"/>
    <mergeCell ref="C20:H20"/>
    <mergeCell ref="A25:H25"/>
    <mergeCell ref="A35:H35"/>
    <mergeCell ref="F36:H37"/>
    <mergeCell ref="A11:H11"/>
    <mergeCell ref="A12:H12"/>
    <mergeCell ref="A13:H13"/>
    <mergeCell ref="E27:H27"/>
  </mergeCells>
  <hyperlinks>
    <hyperlink ref="B5" r:id="rId1" xr:uid="{00000000-0004-0000-0100-000000000000}"/>
    <hyperlink ref="F5" r:id="rId2" xr:uid="{00000000-0004-0000-0100-000001000000}"/>
    <hyperlink ref="B6:E6" r:id="rId3" display="http://cx.lbl.gov/2009-assessment.html" xr:uid="{00000000-0004-0000-0100-000002000000}"/>
    <hyperlink ref="F6:H6" r:id="rId4" display="http://cx.lbl.gov/documents/2009-assessment/lbnl-cx-cost-benefit.pdf" xr:uid="{00000000-0004-0000-0100-000003000000}"/>
    <hyperlink ref="B7:E7" r:id="rId5" display="http://cx.lbl.gov/mbcx.html" xr:uid="{00000000-0004-0000-0100-000004000000}"/>
    <hyperlink ref="F7:H7" r:id="rId6" display="http://evanmills.lbl.gov/pubs/pdf/MBCx-LBNL.pdf" xr:uid="{00000000-0004-0000-0100-000005000000}"/>
    <hyperlink ref="F7" r:id="rId7" xr:uid="{00000000-0004-0000-0100-000006000000}"/>
    <hyperlink ref="H52" r:id="rId8" xr:uid="{00000000-0004-0000-0100-000007000000}"/>
    <hyperlink ref="H55" r:id="rId9" xr:uid="{00000000-0004-0000-0100-000008000000}"/>
    <hyperlink ref="H22" r:id="rId10" xr:uid="{00000000-0004-0000-0100-000009000000}"/>
    <hyperlink ref="H23" r:id="rId11" xr:uid="{00000000-0004-0000-0100-00000A000000}"/>
  </hyperlinks>
  <pageMargins left="0.7" right="0.7" top="0.75" bottom="0.75" header="0.3" footer="0.3"/>
  <pageSetup orientation="portrait" horizontalDpi="1200" verticalDpi="1200" r:id="rId12"/>
  <drawing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AH59"/>
  <sheetViews>
    <sheetView showGridLines="0" defaultGridColor="0" colorId="22" zoomScale="75" zoomScaleNormal="75" zoomScaleSheetLayoutView="75" workbookViewId="0">
      <selection activeCell="B5" sqref="B5"/>
    </sheetView>
  </sheetViews>
  <sheetFormatPr defaultColWidth="11" defaultRowHeight="18.3" x14ac:dyDescent="0.85"/>
  <cols>
    <col min="1" max="1" width="15.70703125" style="4" customWidth="1"/>
    <col min="2" max="2" width="8.70703125" style="4" customWidth="1"/>
    <col min="3" max="3" width="50.70703125" style="93" customWidth="1"/>
    <col min="4" max="11" width="10.70703125" style="88" customWidth="1"/>
    <col min="12" max="13" width="10.70703125" style="89" customWidth="1"/>
    <col min="14" max="17" width="10.70703125" style="90" customWidth="1"/>
    <col min="18" max="19" width="10.70703125" style="91" customWidth="1"/>
    <col min="20" max="23" width="10.70703125" style="4" customWidth="1"/>
    <col min="24" max="25" width="10.70703125" style="90" customWidth="1"/>
    <col min="26" max="26" width="10.70703125" style="88" customWidth="1"/>
    <col min="27" max="28" width="10.70703125" style="90" customWidth="1"/>
    <col min="29" max="29" width="10.70703125" style="88" customWidth="1"/>
    <col min="30" max="30" width="25.70703125" style="92" customWidth="1"/>
    <col min="31" max="31" width="25.70703125" style="130" customWidth="1"/>
    <col min="32" max="32" width="15.70703125" style="4" customWidth="1"/>
    <col min="33" max="33" width="86.08203125" style="4" bestFit="1" customWidth="1"/>
    <col min="34" max="34" width="11" style="4"/>
    <col min="35" max="35" width="11.70703125" style="4" customWidth="1"/>
    <col min="36" max="36" width="14.70703125" style="4" customWidth="1"/>
    <col min="37" max="16384" width="11" style="4"/>
  </cols>
  <sheetData>
    <row r="1" spans="1:31" s="70" customFormat="1" ht="93" customHeight="1" x14ac:dyDescent="0.85">
      <c r="B1" s="71"/>
      <c r="C1" s="5"/>
    </row>
    <row r="2" spans="1:31" ht="19.5" customHeight="1" x14ac:dyDescent="0.85">
      <c r="A2" s="72" t="s">
        <v>5</v>
      </c>
      <c r="B2" s="73"/>
      <c r="C2" s="6"/>
      <c r="D2" s="4"/>
      <c r="E2" s="4"/>
      <c r="F2" s="4"/>
      <c r="G2" s="4"/>
      <c r="H2" s="4"/>
      <c r="I2" s="4"/>
      <c r="J2" s="4"/>
      <c r="K2" s="4"/>
      <c r="L2" s="4"/>
      <c r="M2" s="4"/>
      <c r="N2" s="4"/>
      <c r="O2" s="4"/>
      <c r="P2" s="4"/>
      <c r="Q2" s="4"/>
      <c r="R2" s="4"/>
      <c r="S2" s="4"/>
      <c r="X2" s="4"/>
      <c r="Y2" s="4"/>
      <c r="Z2" s="4"/>
      <c r="AA2" s="4"/>
      <c r="AB2" s="4"/>
      <c r="AC2" s="4"/>
      <c r="AD2" s="4"/>
      <c r="AE2" s="70"/>
    </row>
    <row r="3" spans="1:31" ht="19.5" customHeight="1" x14ac:dyDescent="0.85">
      <c r="A3" s="72" t="s">
        <v>6</v>
      </c>
      <c r="B3" s="73"/>
      <c r="C3" s="6"/>
      <c r="D3" s="4"/>
      <c r="E3" s="4"/>
      <c r="F3" s="4"/>
      <c r="G3" s="4"/>
      <c r="H3" s="4"/>
      <c r="I3" s="4"/>
      <c r="J3" s="4"/>
      <c r="K3" s="4"/>
      <c r="L3" s="4"/>
      <c r="M3" s="4"/>
      <c r="N3" s="4"/>
      <c r="O3" s="4"/>
      <c r="P3" s="4"/>
      <c r="Q3" s="4"/>
      <c r="R3" s="4"/>
      <c r="S3" s="4"/>
      <c r="X3" s="4"/>
      <c r="Y3" s="4"/>
      <c r="Z3" s="4"/>
      <c r="AA3" s="4"/>
      <c r="AB3" s="4"/>
      <c r="AC3" s="4"/>
      <c r="AD3" s="4"/>
      <c r="AE3" s="70"/>
    </row>
    <row r="4" spans="1:31" s="79" customFormat="1" x14ac:dyDescent="0.85">
      <c r="A4" s="74" t="s">
        <v>4</v>
      </c>
      <c r="B4" s="160">
        <v>42793.444022916665</v>
      </c>
      <c r="C4" s="161"/>
      <c r="D4" s="75"/>
      <c r="E4" s="75"/>
      <c r="F4" s="75"/>
      <c r="G4" s="75"/>
      <c r="H4" s="75"/>
      <c r="I4" s="75"/>
      <c r="J4" s="75"/>
      <c r="K4" s="75"/>
      <c r="L4" s="76"/>
      <c r="M4" s="76"/>
      <c r="N4" s="77"/>
      <c r="O4" s="78"/>
      <c r="Q4" s="78"/>
      <c r="R4" s="80"/>
      <c r="S4" s="80"/>
      <c r="T4" s="78"/>
      <c r="U4" s="78"/>
      <c r="V4" s="78"/>
      <c r="W4" s="81"/>
      <c r="X4" s="78"/>
      <c r="Y4" s="78"/>
      <c r="Z4" s="75"/>
      <c r="AA4" s="78"/>
      <c r="AB4" s="78"/>
      <c r="AC4" s="75"/>
      <c r="AD4" s="82"/>
      <c r="AE4" s="129"/>
    </row>
    <row r="5" spans="1:31" s="79" customFormat="1" x14ac:dyDescent="0.85">
      <c r="A5" s="74" t="s">
        <v>0</v>
      </c>
      <c r="B5" s="124"/>
      <c r="C5" s="125"/>
      <c r="D5" s="75"/>
      <c r="E5" s="75"/>
      <c r="F5" s="75"/>
      <c r="G5" s="75"/>
      <c r="H5" s="75"/>
      <c r="I5" s="75"/>
      <c r="J5" s="75"/>
      <c r="K5" s="75"/>
      <c r="L5" s="76"/>
      <c r="M5" s="76"/>
      <c r="N5" s="77"/>
      <c r="O5" s="78"/>
      <c r="Q5" s="78"/>
      <c r="R5" s="80"/>
      <c r="S5" s="80"/>
      <c r="T5" s="78"/>
      <c r="U5" s="78"/>
      <c r="V5" s="78"/>
      <c r="W5" s="81"/>
      <c r="X5" s="78"/>
      <c r="Y5" s="78"/>
      <c r="Z5" s="75"/>
      <c r="AA5" s="78"/>
      <c r="AB5" s="78"/>
      <c r="AC5" s="75"/>
      <c r="AD5" s="82"/>
      <c r="AE5" s="129"/>
    </row>
    <row r="6" spans="1:31" s="79" customFormat="1" x14ac:dyDescent="0.85">
      <c r="A6" s="74" t="s">
        <v>1</v>
      </c>
      <c r="B6" s="124"/>
      <c r="C6" s="125"/>
      <c r="D6" s="75"/>
      <c r="E6" s="75"/>
      <c r="F6" s="75"/>
      <c r="G6" s="75"/>
      <c r="H6" s="75"/>
      <c r="I6" s="75"/>
      <c r="J6" s="75"/>
      <c r="K6" s="75"/>
      <c r="L6" s="76"/>
      <c r="M6" s="76"/>
      <c r="N6" s="77"/>
      <c r="O6" s="78"/>
      <c r="Q6" s="78"/>
      <c r="R6" s="80"/>
      <c r="S6" s="80"/>
      <c r="T6" s="78"/>
      <c r="U6" s="78"/>
      <c r="V6" s="78"/>
      <c r="W6" s="81"/>
      <c r="X6" s="78"/>
      <c r="Y6" s="78"/>
      <c r="Z6" s="75"/>
      <c r="AA6" s="78"/>
      <c r="AB6" s="78"/>
      <c r="AC6" s="75"/>
      <c r="AD6" s="82"/>
      <c r="AE6" s="129"/>
    </row>
    <row r="7" spans="1:31" s="79" customFormat="1" x14ac:dyDescent="0.85">
      <c r="A7" s="74" t="s">
        <v>2</v>
      </c>
      <c r="B7" s="124" t="s">
        <v>168</v>
      </c>
      <c r="C7" s="125"/>
      <c r="D7" s="75"/>
      <c r="E7" s="75"/>
      <c r="F7" s="75"/>
      <c r="G7" s="75"/>
      <c r="H7" s="75"/>
      <c r="I7" s="75"/>
      <c r="J7" s="75"/>
      <c r="K7" s="75"/>
      <c r="L7" s="76"/>
      <c r="M7" s="76"/>
      <c r="N7" s="77"/>
      <c r="O7" s="78"/>
      <c r="Q7" s="78"/>
      <c r="R7" s="80"/>
      <c r="S7" s="80"/>
      <c r="T7" s="78"/>
      <c r="U7" s="78"/>
      <c r="V7" s="78"/>
      <c r="W7" s="81"/>
      <c r="X7" s="78"/>
      <c r="Y7" s="78"/>
      <c r="Z7" s="75"/>
      <c r="AA7" s="78"/>
      <c r="AB7" s="78"/>
      <c r="AC7" s="75"/>
      <c r="AD7" s="82"/>
      <c r="AE7" s="129"/>
    </row>
    <row r="8" spans="1:31" s="79" customFormat="1" x14ac:dyDescent="0.85">
      <c r="A8" s="84" t="s">
        <v>3</v>
      </c>
      <c r="B8" s="77"/>
      <c r="C8" s="77"/>
      <c r="D8" s="75"/>
      <c r="E8" s="75"/>
      <c r="F8" s="75"/>
      <c r="G8" s="75"/>
      <c r="H8" s="75"/>
      <c r="I8" s="75"/>
      <c r="J8" s="75"/>
      <c r="K8" s="75"/>
      <c r="L8" s="76"/>
      <c r="M8" s="76"/>
      <c r="N8" s="77"/>
      <c r="O8" s="78"/>
      <c r="Q8" s="78"/>
      <c r="R8" s="80"/>
      <c r="S8" s="80"/>
      <c r="T8" s="78"/>
      <c r="U8" s="78"/>
      <c r="V8" s="78"/>
      <c r="W8" s="81"/>
      <c r="X8" s="78"/>
      <c r="Y8" s="78"/>
      <c r="Z8" s="75"/>
      <c r="AA8" s="78"/>
      <c r="AB8" s="78"/>
      <c r="AC8" s="75"/>
      <c r="AD8" s="82"/>
      <c r="AE8" s="129"/>
    </row>
    <row r="9" spans="1:31" s="79" customFormat="1" x14ac:dyDescent="0.85">
      <c r="A9" s="85">
        <v>1</v>
      </c>
      <c r="C9" s="86" t="s">
        <v>10</v>
      </c>
      <c r="D9" s="126">
        <f>[1]Meter!$P$43</f>
        <v>0.11893224278744143</v>
      </c>
      <c r="E9" s="87" t="s">
        <v>27</v>
      </c>
      <c r="F9" s="87"/>
      <c r="G9" s="87" t="s">
        <v>169</v>
      </c>
      <c r="H9" s="150" t="s">
        <v>170</v>
      </c>
      <c r="I9" s="75"/>
      <c r="J9" s="75"/>
      <c r="K9" s="75"/>
      <c r="L9" s="76"/>
      <c r="M9" s="76"/>
      <c r="O9" s="78"/>
      <c r="Q9" s="78"/>
      <c r="R9" s="80"/>
      <c r="S9" s="80"/>
      <c r="T9" s="78"/>
      <c r="U9" s="78"/>
      <c r="V9" s="78"/>
      <c r="W9" s="81"/>
      <c r="X9" s="78"/>
      <c r="Y9" s="78"/>
      <c r="Z9" s="75"/>
      <c r="AA9" s="78"/>
      <c r="AB9" s="78"/>
      <c r="AC9" s="75"/>
      <c r="AD9" s="82"/>
      <c r="AE9" s="129"/>
    </row>
    <row r="10" spans="1:31" s="79" customFormat="1" x14ac:dyDescent="0.85">
      <c r="A10" s="85">
        <f>A9+1</f>
        <v>2</v>
      </c>
      <c r="C10" s="86" t="s">
        <v>145</v>
      </c>
      <c r="D10" s="126">
        <f>[1]Meter!$R$43</f>
        <v>0.77551119970968507</v>
      </c>
      <c r="E10" s="87" t="s">
        <v>28</v>
      </c>
      <c r="F10" s="87"/>
      <c r="G10" s="87" t="s">
        <v>169</v>
      </c>
      <c r="H10" s="150" t="s">
        <v>170</v>
      </c>
      <c r="I10" s="75"/>
      <c r="J10" s="75"/>
      <c r="K10" s="75"/>
      <c r="L10" s="76"/>
      <c r="M10" s="76"/>
      <c r="O10" s="78"/>
      <c r="Q10" s="78"/>
      <c r="R10" s="80"/>
      <c r="S10" s="80"/>
      <c r="T10" s="78"/>
      <c r="U10" s="78"/>
      <c r="V10" s="78"/>
      <c r="W10" s="81"/>
      <c r="X10" s="78"/>
      <c r="Y10" s="78"/>
      <c r="Z10" s="75"/>
      <c r="AA10" s="78"/>
      <c r="AB10" s="78"/>
      <c r="AC10" s="75"/>
      <c r="AD10" s="82"/>
      <c r="AE10" s="129"/>
    </row>
    <row r="11" spans="1:31" s="79" customFormat="1" x14ac:dyDescent="0.85">
      <c r="A11" s="85">
        <f>A10+1</f>
        <v>3</v>
      </c>
      <c r="C11" s="86" t="s">
        <v>33</v>
      </c>
      <c r="D11" s="126"/>
      <c r="E11" s="87" t="s">
        <v>28</v>
      </c>
      <c r="F11" s="87"/>
      <c r="G11" s="87"/>
      <c r="H11" s="75"/>
      <c r="I11" s="75"/>
      <c r="J11" s="75"/>
      <c r="K11" s="75"/>
      <c r="L11" s="76"/>
      <c r="M11" s="76"/>
      <c r="O11" s="78"/>
      <c r="Q11" s="78"/>
      <c r="R11" s="80"/>
      <c r="S11" s="80"/>
      <c r="T11" s="78"/>
      <c r="U11" s="78"/>
      <c r="V11" s="78"/>
      <c r="W11" s="81"/>
      <c r="X11" s="78"/>
      <c r="Y11" s="78"/>
      <c r="Z11" s="75"/>
      <c r="AA11" s="78"/>
      <c r="AB11" s="78"/>
      <c r="AC11" s="75"/>
      <c r="AD11" s="82"/>
      <c r="AE11" s="129"/>
    </row>
    <row r="12" spans="1:31" s="79" customFormat="1" x14ac:dyDescent="0.85">
      <c r="A12" s="85">
        <f>A11+1</f>
        <v>4</v>
      </c>
      <c r="B12" s="83"/>
      <c r="C12" s="86" t="s">
        <v>11</v>
      </c>
      <c r="D12" s="126">
        <f>[1]Meter!$V$43</f>
        <v>1.1580778844092849E-2</v>
      </c>
      <c r="E12" s="87" t="s">
        <v>171</v>
      </c>
      <c r="F12" s="87"/>
      <c r="G12" s="87" t="s">
        <v>169</v>
      </c>
      <c r="H12" s="150" t="s">
        <v>170</v>
      </c>
      <c r="I12" s="75"/>
      <c r="J12" s="75"/>
      <c r="K12" s="75"/>
      <c r="L12" s="76"/>
      <c r="M12" s="76"/>
      <c r="N12" s="87"/>
      <c r="O12" s="78"/>
      <c r="Q12" s="78"/>
      <c r="R12" s="80"/>
      <c r="S12" s="80"/>
      <c r="T12" s="78"/>
      <c r="U12" s="78"/>
      <c r="V12" s="78"/>
      <c r="W12" s="81"/>
      <c r="X12" s="78"/>
      <c r="Y12" s="78"/>
      <c r="Z12" s="75"/>
      <c r="AA12" s="78"/>
      <c r="AB12" s="78"/>
      <c r="AC12" s="75"/>
      <c r="AD12" s="82"/>
      <c r="AE12" s="129"/>
    </row>
    <row r="13" spans="1:31" s="79" customFormat="1" x14ac:dyDescent="0.85">
      <c r="A13" s="85">
        <f>A12+1</f>
        <v>5</v>
      </c>
      <c r="B13" s="83"/>
      <c r="C13" s="86" t="s">
        <v>34</v>
      </c>
      <c r="D13" s="127">
        <v>1000</v>
      </c>
      <c r="E13" s="87" t="s">
        <v>35</v>
      </c>
      <c r="F13" s="87"/>
      <c r="G13" s="87"/>
      <c r="H13" s="75"/>
      <c r="I13" s="75"/>
      <c r="J13" s="75"/>
      <c r="K13" s="75"/>
      <c r="L13" s="76"/>
      <c r="M13" s="76"/>
      <c r="N13" s="87"/>
      <c r="O13" s="78"/>
      <c r="Q13" s="78"/>
      <c r="R13" s="80"/>
      <c r="S13" s="80"/>
      <c r="T13" s="78"/>
      <c r="U13" s="78"/>
      <c r="V13" s="78"/>
      <c r="W13" s="81"/>
      <c r="X13" s="78"/>
      <c r="Y13" s="78"/>
      <c r="Z13" s="75"/>
      <c r="AA13" s="78"/>
      <c r="AB13" s="78"/>
      <c r="AC13" s="75"/>
      <c r="AD13" s="82"/>
      <c r="AE13" s="129"/>
    </row>
    <row r="14" spans="1:31" s="79" customFormat="1" x14ac:dyDescent="0.85">
      <c r="A14" s="85">
        <f>A13+1</f>
        <v>6</v>
      </c>
      <c r="B14" s="83"/>
      <c r="C14" s="86" t="s">
        <v>146</v>
      </c>
      <c r="D14" s="126">
        <v>0</v>
      </c>
      <c r="E14" s="87" t="s">
        <v>148</v>
      </c>
      <c r="F14" s="87"/>
      <c r="G14" s="87"/>
      <c r="H14" s="75"/>
      <c r="I14" s="75"/>
      <c r="J14" s="75"/>
      <c r="K14" s="75"/>
      <c r="L14" s="76"/>
      <c r="M14" s="76"/>
      <c r="N14" s="77"/>
      <c r="O14" s="78"/>
      <c r="Q14" s="78"/>
      <c r="R14" s="80"/>
      <c r="S14" s="80"/>
      <c r="T14" s="78"/>
      <c r="U14" s="78"/>
      <c r="V14" s="78"/>
      <c r="W14" s="81"/>
      <c r="X14" s="78"/>
      <c r="Y14" s="78"/>
      <c r="Z14" s="75"/>
      <c r="AA14" s="78"/>
      <c r="AB14" s="78"/>
      <c r="AC14" s="75"/>
      <c r="AD14" s="82"/>
      <c r="AE14" s="129"/>
    </row>
    <row r="15" spans="1:31" s="79" customFormat="1" x14ac:dyDescent="0.85">
      <c r="A15" s="85">
        <v>7</v>
      </c>
      <c r="B15" s="83"/>
      <c r="C15" s="86" t="s">
        <v>147</v>
      </c>
      <c r="D15" s="126">
        <v>0</v>
      </c>
      <c r="E15" s="87" t="s">
        <v>149</v>
      </c>
      <c r="F15" s="87"/>
      <c r="G15" s="87"/>
      <c r="H15" s="75"/>
      <c r="I15" s="75"/>
      <c r="J15" s="75"/>
      <c r="K15" s="75"/>
      <c r="L15" s="76"/>
      <c r="M15" s="76"/>
      <c r="N15" s="77"/>
      <c r="O15" s="78"/>
      <c r="Q15" s="78"/>
      <c r="R15" s="80"/>
      <c r="S15" s="80"/>
      <c r="T15" s="78"/>
      <c r="U15" s="78"/>
      <c r="V15" s="78"/>
      <c r="W15" s="81"/>
      <c r="X15" s="78"/>
      <c r="Y15" s="78"/>
      <c r="Z15" s="75"/>
      <c r="AA15" s="78"/>
      <c r="AB15" s="78"/>
      <c r="AC15" s="75"/>
      <c r="AD15" s="82"/>
      <c r="AE15" s="129"/>
    </row>
    <row r="16" spans="1:31" s="79" customFormat="1" x14ac:dyDescent="0.85">
      <c r="A16" s="85"/>
      <c r="B16" s="83"/>
      <c r="C16" s="86"/>
      <c r="D16" s="76"/>
      <c r="H16" s="75"/>
      <c r="I16" s="75"/>
      <c r="J16" s="75"/>
      <c r="K16" s="75"/>
      <c r="L16" s="76"/>
      <c r="M16" s="76"/>
      <c r="N16" s="77"/>
      <c r="O16" s="78"/>
      <c r="Q16" s="78"/>
      <c r="R16" s="80"/>
      <c r="S16" s="80"/>
      <c r="T16" s="78"/>
      <c r="U16" s="78"/>
      <c r="V16" s="78"/>
      <c r="W16" s="81"/>
      <c r="X16" s="78"/>
      <c r="Y16" s="78"/>
      <c r="Z16" s="75"/>
      <c r="AA16" s="78"/>
      <c r="AB16" s="78"/>
      <c r="AC16" s="75"/>
      <c r="AD16" s="82"/>
      <c r="AE16" s="129"/>
    </row>
    <row r="17" spans="1:34" s="79" customFormat="1" x14ac:dyDescent="0.85">
      <c r="A17" s="85"/>
      <c r="B17" s="83"/>
      <c r="C17" s="86"/>
      <c r="D17" s="76"/>
      <c r="H17" s="75"/>
      <c r="I17" s="75"/>
      <c r="J17" s="75"/>
      <c r="K17" s="75"/>
      <c r="L17" s="76"/>
      <c r="M17" s="76"/>
      <c r="N17" s="77"/>
      <c r="O17" s="78"/>
      <c r="Q17" s="78"/>
      <c r="R17" s="80"/>
      <c r="S17" s="80"/>
      <c r="T17" s="78"/>
      <c r="U17" s="78"/>
      <c r="V17" s="78"/>
      <c r="W17" s="81"/>
      <c r="X17" s="78"/>
      <c r="Y17" s="78"/>
      <c r="Z17" s="75"/>
      <c r="AA17" s="78"/>
      <c r="AB17" s="78"/>
      <c r="AC17" s="75"/>
      <c r="AD17" s="82"/>
      <c r="AE17" s="129"/>
    </row>
    <row r="18" spans="1:34" s="79" customFormat="1" x14ac:dyDescent="0.85">
      <c r="A18" s="85" t="s">
        <v>36</v>
      </c>
      <c r="B18" s="83" t="s">
        <v>154</v>
      </c>
      <c r="C18" s="77"/>
      <c r="D18" s="75"/>
      <c r="E18" s="75"/>
      <c r="F18" s="75"/>
      <c r="G18" s="75"/>
      <c r="H18" s="75"/>
      <c r="I18" s="75"/>
      <c r="J18" s="75"/>
      <c r="K18" s="75"/>
      <c r="L18" s="76"/>
      <c r="M18" s="76"/>
      <c r="N18" s="77"/>
      <c r="O18" s="78"/>
      <c r="Q18" s="78"/>
      <c r="R18" s="80"/>
      <c r="S18" s="80"/>
      <c r="T18" s="78"/>
      <c r="U18" s="78"/>
      <c r="V18" s="78"/>
      <c r="W18" s="81"/>
      <c r="X18" s="78"/>
      <c r="Y18" s="78"/>
      <c r="Z18" s="75"/>
      <c r="AA18" s="78"/>
      <c r="AB18" s="78"/>
      <c r="AC18" s="75"/>
      <c r="AD18" s="82"/>
      <c r="AE18" s="129"/>
    </row>
    <row r="19" spans="1:34" x14ac:dyDescent="0.85">
      <c r="B19" s="1"/>
      <c r="C19" s="99"/>
      <c r="H19" s="100"/>
      <c r="I19" s="100"/>
      <c r="J19" s="128"/>
      <c r="K19" s="128"/>
      <c r="N19" s="101"/>
      <c r="P19" s="101"/>
      <c r="R19" s="102"/>
      <c r="S19" s="102"/>
      <c r="T19" s="103"/>
      <c r="V19" s="103"/>
      <c r="X19" s="101"/>
      <c r="Y19" s="101"/>
      <c r="Z19" s="100"/>
      <c r="AA19" s="101"/>
      <c r="AB19" s="101"/>
      <c r="AC19" s="100"/>
      <c r="AD19" s="104"/>
    </row>
    <row r="20" spans="1:34" s="3" customFormat="1" ht="21.3" x14ac:dyDescent="0.85">
      <c r="B20" s="176" t="s">
        <v>7</v>
      </c>
      <c r="C20" s="178" t="s">
        <v>8</v>
      </c>
      <c r="D20" s="166" t="s">
        <v>29</v>
      </c>
      <c r="E20" s="167"/>
      <c r="F20" s="166" t="s">
        <v>150</v>
      </c>
      <c r="G20" s="167"/>
      <c r="H20" s="166" t="s">
        <v>31</v>
      </c>
      <c r="I20" s="167"/>
      <c r="J20" s="166" t="s">
        <v>151</v>
      </c>
      <c r="K20" s="167"/>
      <c r="L20" s="168" t="s">
        <v>152</v>
      </c>
      <c r="M20" s="169"/>
      <c r="N20" s="184" t="s">
        <v>9</v>
      </c>
      <c r="O20" s="185"/>
      <c r="P20" s="185"/>
      <c r="Q20" s="185"/>
      <c r="R20" s="185"/>
      <c r="S20" s="185"/>
      <c r="T20" s="184" t="s">
        <v>20</v>
      </c>
      <c r="U20" s="185"/>
      <c r="V20" s="185"/>
      <c r="W20" s="185"/>
      <c r="X20" s="184" t="s">
        <v>24</v>
      </c>
      <c r="Y20" s="184"/>
      <c r="Z20" s="184"/>
      <c r="AA20" s="184"/>
      <c r="AB20" s="184"/>
      <c r="AC20" s="184"/>
      <c r="AD20" s="172" t="s">
        <v>153</v>
      </c>
      <c r="AE20" s="131"/>
      <c r="AF20" s="4" t="s">
        <v>32</v>
      </c>
      <c r="AG20" s="93"/>
      <c r="AH20" s="88"/>
    </row>
    <row r="21" spans="1:34" s="3" customFormat="1" ht="21.3" x14ac:dyDescent="0.85">
      <c r="B21" s="177"/>
      <c r="C21" s="179"/>
      <c r="D21" s="167"/>
      <c r="E21" s="167"/>
      <c r="F21" s="167"/>
      <c r="G21" s="167"/>
      <c r="H21" s="167"/>
      <c r="I21" s="167"/>
      <c r="J21" s="167"/>
      <c r="K21" s="167"/>
      <c r="L21" s="169"/>
      <c r="M21" s="169"/>
      <c r="N21" s="186" t="s">
        <v>12</v>
      </c>
      <c r="O21" s="187"/>
      <c r="P21" s="187"/>
      <c r="Q21" s="187"/>
      <c r="R21" s="182" t="s">
        <v>17</v>
      </c>
      <c r="S21" s="183"/>
      <c r="T21" s="186" t="s">
        <v>21</v>
      </c>
      <c r="U21" s="187"/>
      <c r="V21" s="187"/>
      <c r="W21" s="187"/>
      <c r="X21" s="184"/>
      <c r="Y21" s="184"/>
      <c r="Z21" s="184"/>
      <c r="AA21" s="184"/>
      <c r="AB21" s="184"/>
      <c r="AC21" s="184"/>
      <c r="AD21" s="173"/>
      <c r="AE21" s="132"/>
      <c r="AF21" s="94">
        <v>1</v>
      </c>
      <c r="AG21" s="95"/>
      <c r="AH21" s="96"/>
    </row>
    <row r="22" spans="1:34" s="3" customFormat="1" ht="21.3" x14ac:dyDescent="0.85">
      <c r="B22" s="177"/>
      <c r="C22" s="179"/>
      <c r="D22" s="167"/>
      <c r="E22" s="167"/>
      <c r="F22" s="167"/>
      <c r="G22" s="167"/>
      <c r="H22" s="167"/>
      <c r="I22" s="167"/>
      <c r="J22" s="167"/>
      <c r="K22" s="167"/>
      <c r="L22" s="169"/>
      <c r="M22" s="169"/>
      <c r="N22" s="174" t="s">
        <v>13</v>
      </c>
      <c r="O22" s="175"/>
      <c r="P22" s="180" t="s">
        <v>14</v>
      </c>
      <c r="Q22" s="181"/>
      <c r="R22" s="170" t="s">
        <v>18</v>
      </c>
      <c r="S22" s="171" t="s">
        <v>19</v>
      </c>
      <c r="T22" s="174" t="s">
        <v>13</v>
      </c>
      <c r="U22" s="175"/>
      <c r="V22" s="180" t="s">
        <v>14</v>
      </c>
      <c r="W22" s="181"/>
      <c r="X22" s="174" t="s">
        <v>13</v>
      </c>
      <c r="Y22" s="175"/>
      <c r="Z22" s="175"/>
      <c r="AA22" s="180" t="s">
        <v>14</v>
      </c>
      <c r="AB22" s="181"/>
      <c r="AC22" s="181"/>
      <c r="AD22" s="173"/>
      <c r="AE22" s="132"/>
      <c r="AF22" s="94">
        <v>2</v>
      </c>
      <c r="AG22" s="95"/>
      <c r="AH22" s="96"/>
    </row>
    <row r="23" spans="1:34" s="3" customFormat="1" ht="21.3" x14ac:dyDescent="0.85">
      <c r="B23" s="177"/>
      <c r="C23" s="179"/>
      <c r="D23" s="136" t="s">
        <v>18</v>
      </c>
      <c r="E23" s="137" t="s">
        <v>19</v>
      </c>
      <c r="F23" s="136" t="s">
        <v>18</v>
      </c>
      <c r="G23" s="137" t="s">
        <v>19</v>
      </c>
      <c r="H23" s="136" t="s">
        <v>18</v>
      </c>
      <c r="I23" s="137" t="s">
        <v>19</v>
      </c>
      <c r="J23" s="136" t="s">
        <v>18</v>
      </c>
      <c r="K23" s="137" t="s">
        <v>19</v>
      </c>
      <c r="L23" s="136" t="s">
        <v>18</v>
      </c>
      <c r="M23" s="137" t="s">
        <v>19</v>
      </c>
      <c r="N23" s="136" t="s">
        <v>15</v>
      </c>
      <c r="O23" s="137" t="s">
        <v>16</v>
      </c>
      <c r="P23" s="136" t="s">
        <v>15</v>
      </c>
      <c r="Q23" s="137" t="s">
        <v>16</v>
      </c>
      <c r="R23" s="170"/>
      <c r="S23" s="171"/>
      <c r="T23" s="136" t="s">
        <v>22</v>
      </c>
      <c r="U23" s="137" t="s">
        <v>16</v>
      </c>
      <c r="V23" s="136" t="s">
        <v>23</v>
      </c>
      <c r="W23" s="137" t="s">
        <v>16</v>
      </c>
      <c r="X23" s="136" t="s">
        <v>25</v>
      </c>
      <c r="Y23" s="137" t="s">
        <v>26</v>
      </c>
      <c r="Z23" s="136" t="s">
        <v>16</v>
      </c>
      <c r="AA23" s="136" t="s">
        <v>25</v>
      </c>
      <c r="AB23" s="137" t="s">
        <v>26</v>
      </c>
      <c r="AC23" s="136" t="s">
        <v>16</v>
      </c>
      <c r="AD23" s="173"/>
      <c r="AE23" s="132"/>
      <c r="AF23" s="4"/>
      <c r="AG23" s="95"/>
      <c r="AH23" s="96"/>
    </row>
    <row r="24" spans="1:34" ht="40" customHeight="1" x14ac:dyDescent="0.85">
      <c r="B24" s="105">
        <v>1</v>
      </c>
      <c r="C24" s="98"/>
      <c r="D24" s="107" t="str">
        <f>IF(O24+U24+Z24=0,"To Be Determined",O24+U24+Z24)</f>
        <v>To Be Determined</v>
      </c>
      <c r="E24" s="107" t="str">
        <f>IF(Q24+W24+AC24=0,"To Be Determined",Q24+W24+AC24)</f>
        <v>To Be Determined</v>
      </c>
      <c r="F24" s="107" t="str">
        <f>IF(AND(D14=0,D15=0),"None Offered",(N24*D14)+(T24*D15))</f>
        <v>None Offered</v>
      </c>
      <c r="G24" s="107" t="str">
        <f>IF(AND(D14=0,D15=0),"None Offered",(P24*D14)+(V24*D15))</f>
        <v>None Offered</v>
      </c>
      <c r="H24" s="107"/>
      <c r="I24" s="107"/>
      <c r="J24" s="107">
        <f>H24-F24</f>
        <v>0</v>
      </c>
      <c r="K24" s="107">
        <f>I24-G24</f>
        <v>0</v>
      </c>
      <c r="L24" s="108" t="str">
        <f>IF(OR(E24=0,J24=0),"To Be Determined",IF(OR(H24&lt;=0,J24&lt;=0),"Immediate",J24/E24))</f>
        <v>To Be Determined</v>
      </c>
      <c r="M24" s="108" t="str">
        <f>IF(OR(D24=0,K24=0),"To Be Determined",IF(OR(I24&lt;=0,K24&lt;=0),"Immediate",K24/D24))</f>
        <v>To Be Determined</v>
      </c>
      <c r="N24" s="109">
        <v>0</v>
      </c>
      <c r="O24" s="106">
        <f>N24*$D$9</f>
        <v>0</v>
      </c>
      <c r="P24" s="109">
        <v>0</v>
      </c>
      <c r="Q24" s="106">
        <f>P24*$D$9</f>
        <v>0</v>
      </c>
      <c r="R24" s="110">
        <v>0</v>
      </c>
      <c r="S24" s="110">
        <v>0</v>
      </c>
      <c r="T24" s="109">
        <v>0</v>
      </c>
      <c r="U24" s="106">
        <f t="shared" ref="U24:U35" si="0">T24*$D$11</f>
        <v>0</v>
      </c>
      <c r="V24" s="111">
        <v>0</v>
      </c>
      <c r="W24" s="106">
        <f t="shared" ref="W24:W35" si="1">V24*$D$11</f>
        <v>0</v>
      </c>
      <c r="X24" s="123" t="s">
        <v>144</v>
      </c>
      <c r="Y24" s="123" t="s">
        <v>38</v>
      </c>
      <c r="Z24" s="106">
        <v>0</v>
      </c>
      <c r="AA24" s="123" t="s">
        <v>144</v>
      </c>
      <c r="AB24" s="123" t="s">
        <v>38</v>
      </c>
      <c r="AC24" s="106">
        <v>0</v>
      </c>
      <c r="AD24" s="113"/>
      <c r="AE24" s="133"/>
      <c r="AG24" s="95"/>
      <c r="AH24" s="96"/>
    </row>
    <row r="25" spans="1:34" ht="40" customHeight="1" x14ac:dyDescent="0.85">
      <c r="B25" s="114">
        <v>2</v>
      </c>
      <c r="C25" s="115"/>
      <c r="D25" s="117" t="str">
        <f t="shared" ref="D25:D35" si="2">IF(O25+U25+Z25=0,"To Be Determined",O25+U25+Z25)</f>
        <v>To Be Determined</v>
      </c>
      <c r="E25" s="117" t="str">
        <f t="shared" ref="E25:E35" si="3">IF(Q25+W25+AC25=0,"To Be Determined",Q25+W25+AC25)</f>
        <v>To Be Determined</v>
      </c>
      <c r="F25" s="117" t="str">
        <f t="shared" ref="F25:F35" si="4">IF(AND(D15=0,D16=0),"None Offered",(N25*D15)+(T25*D16))</f>
        <v>None Offered</v>
      </c>
      <c r="G25" s="117" t="str">
        <f t="shared" ref="G25:G35" si="5">IF(AND(D15=0,D16=0),"None Offered",(P25*D15)+(V25*D16))</f>
        <v>None Offered</v>
      </c>
      <c r="H25" s="117"/>
      <c r="I25" s="117"/>
      <c r="J25" s="117">
        <f t="shared" ref="J25:J35" si="6">H25-F25</f>
        <v>0</v>
      </c>
      <c r="K25" s="117">
        <f t="shared" ref="K25:K35" si="7">I25-G25</f>
        <v>0</v>
      </c>
      <c r="L25" s="118" t="str">
        <f t="shared" ref="L25:L35" si="8">IF(OR(E25=0,J25=0),"To Be Determined",IF(OR(H25&lt;=0,J25&lt;=0),"Immediate",J25/E25))</f>
        <v>To Be Determined</v>
      </c>
      <c r="M25" s="118" t="str">
        <f t="shared" ref="M25:M35" si="9">IF(OR(D25=0,K25=0),"To Be Determined",IF(OR(I25&lt;=0,K25&lt;=0),"Immediate",K25/D25))</f>
        <v>To Be Determined</v>
      </c>
      <c r="N25" s="119">
        <v>0</v>
      </c>
      <c r="O25" s="116">
        <f t="shared" ref="O25:O35" si="10">N25*$D$9</f>
        <v>0</v>
      </c>
      <c r="P25" s="119">
        <v>0</v>
      </c>
      <c r="Q25" s="116">
        <f t="shared" ref="Q25:Q35" si="11">P25*$D$9</f>
        <v>0</v>
      </c>
      <c r="R25" s="120">
        <v>0</v>
      </c>
      <c r="S25" s="120">
        <v>0</v>
      </c>
      <c r="T25" s="119">
        <v>0</v>
      </c>
      <c r="U25" s="116">
        <f t="shared" si="0"/>
        <v>0</v>
      </c>
      <c r="V25" s="119">
        <v>0</v>
      </c>
      <c r="W25" s="116">
        <f t="shared" si="1"/>
        <v>0</v>
      </c>
      <c r="X25" s="121" t="s">
        <v>144</v>
      </c>
      <c r="Y25" s="121" t="s">
        <v>38</v>
      </c>
      <c r="Z25" s="117">
        <v>0</v>
      </c>
      <c r="AA25" s="121" t="s">
        <v>144</v>
      </c>
      <c r="AB25" s="121" t="s">
        <v>38</v>
      </c>
      <c r="AC25" s="117">
        <v>0</v>
      </c>
      <c r="AD25" s="122"/>
      <c r="AE25" s="134"/>
      <c r="AF25" s="94">
        <v>3</v>
      </c>
      <c r="AG25" s="95"/>
      <c r="AH25" s="96"/>
    </row>
    <row r="26" spans="1:34" ht="40" customHeight="1" x14ac:dyDescent="0.85">
      <c r="B26" s="105">
        <v>3</v>
      </c>
      <c r="C26" s="98"/>
      <c r="D26" s="107" t="str">
        <f t="shared" si="2"/>
        <v>To Be Determined</v>
      </c>
      <c r="E26" s="107" t="str">
        <f t="shared" si="3"/>
        <v>To Be Determined</v>
      </c>
      <c r="F26" s="107" t="str">
        <f t="shared" si="4"/>
        <v>None Offered</v>
      </c>
      <c r="G26" s="107" t="str">
        <f t="shared" si="5"/>
        <v>None Offered</v>
      </c>
      <c r="H26" s="107"/>
      <c r="I26" s="107"/>
      <c r="J26" s="107">
        <f t="shared" si="6"/>
        <v>0</v>
      </c>
      <c r="K26" s="107">
        <f t="shared" si="7"/>
        <v>0</v>
      </c>
      <c r="L26" s="108" t="str">
        <f t="shared" si="8"/>
        <v>To Be Determined</v>
      </c>
      <c r="M26" s="108" t="str">
        <f t="shared" si="9"/>
        <v>To Be Determined</v>
      </c>
      <c r="N26" s="109">
        <v>0</v>
      </c>
      <c r="O26" s="106">
        <f t="shared" si="10"/>
        <v>0</v>
      </c>
      <c r="P26" s="109">
        <v>0</v>
      </c>
      <c r="Q26" s="106">
        <f t="shared" si="11"/>
        <v>0</v>
      </c>
      <c r="R26" s="110">
        <v>0</v>
      </c>
      <c r="S26" s="110">
        <v>0</v>
      </c>
      <c r="T26" s="109">
        <v>0</v>
      </c>
      <c r="U26" s="106">
        <f t="shared" si="0"/>
        <v>0</v>
      </c>
      <c r="V26" s="111">
        <v>0</v>
      </c>
      <c r="W26" s="106">
        <f t="shared" si="1"/>
        <v>0</v>
      </c>
      <c r="X26" s="112" t="s">
        <v>144</v>
      </c>
      <c r="Y26" s="112" t="s">
        <v>38</v>
      </c>
      <c r="Z26" s="106">
        <v>0</v>
      </c>
      <c r="AA26" s="112" t="s">
        <v>144</v>
      </c>
      <c r="AB26" s="112" t="s">
        <v>38</v>
      </c>
      <c r="AC26" s="106">
        <v>0</v>
      </c>
      <c r="AD26" s="113"/>
      <c r="AE26" s="133"/>
      <c r="AF26" s="94"/>
      <c r="AG26" s="95"/>
      <c r="AH26" s="96"/>
    </row>
    <row r="27" spans="1:34" ht="40" customHeight="1" x14ac:dyDescent="0.85">
      <c r="B27" s="114">
        <v>4</v>
      </c>
      <c r="C27" s="115"/>
      <c r="D27" s="117" t="str">
        <f t="shared" si="2"/>
        <v>To Be Determined</v>
      </c>
      <c r="E27" s="117" t="str">
        <f t="shared" si="3"/>
        <v>To Be Determined</v>
      </c>
      <c r="F27" s="117" t="str">
        <f t="shared" si="4"/>
        <v>None Offered</v>
      </c>
      <c r="G27" s="117" t="str">
        <f t="shared" si="5"/>
        <v>None Offered</v>
      </c>
      <c r="H27" s="117"/>
      <c r="I27" s="117"/>
      <c r="J27" s="117">
        <f t="shared" si="6"/>
        <v>0</v>
      </c>
      <c r="K27" s="117">
        <f t="shared" si="7"/>
        <v>0</v>
      </c>
      <c r="L27" s="118" t="str">
        <f t="shared" si="8"/>
        <v>To Be Determined</v>
      </c>
      <c r="M27" s="118" t="str">
        <f t="shared" si="9"/>
        <v>To Be Determined</v>
      </c>
      <c r="N27" s="119">
        <v>0</v>
      </c>
      <c r="O27" s="116">
        <f t="shared" si="10"/>
        <v>0</v>
      </c>
      <c r="P27" s="119">
        <v>0</v>
      </c>
      <c r="Q27" s="116">
        <f t="shared" si="11"/>
        <v>0</v>
      </c>
      <c r="R27" s="120">
        <v>0</v>
      </c>
      <c r="S27" s="120">
        <v>0</v>
      </c>
      <c r="T27" s="119">
        <v>0</v>
      </c>
      <c r="U27" s="116">
        <f t="shared" si="0"/>
        <v>0</v>
      </c>
      <c r="V27" s="119">
        <v>0</v>
      </c>
      <c r="W27" s="116">
        <f t="shared" si="1"/>
        <v>0</v>
      </c>
      <c r="X27" s="121" t="s">
        <v>144</v>
      </c>
      <c r="Y27" s="121" t="s">
        <v>38</v>
      </c>
      <c r="Z27" s="117">
        <v>0</v>
      </c>
      <c r="AA27" s="121" t="s">
        <v>144</v>
      </c>
      <c r="AB27" s="121" t="s">
        <v>38</v>
      </c>
      <c r="AC27" s="117">
        <v>0</v>
      </c>
      <c r="AD27" s="122"/>
      <c r="AE27" s="134"/>
      <c r="AF27" s="94"/>
      <c r="AG27" s="95"/>
      <c r="AH27" s="96"/>
    </row>
    <row r="28" spans="1:34" ht="40" customHeight="1" x14ac:dyDescent="0.85">
      <c r="B28" s="105">
        <v>5</v>
      </c>
      <c r="C28" s="98"/>
      <c r="D28" s="107" t="str">
        <f t="shared" si="2"/>
        <v>To Be Determined</v>
      </c>
      <c r="E28" s="107" t="str">
        <f t="shared" si="3"/>
        <v>To Be Determined</v>
      </c>
      <c r="F28" s="107" t="str">
        <f t="shared" si="4"/>
        <v>None Offered</v>
      </c>
      <c r="G28" s="107" t="str">
        <f t="shared" si="5"/>
        <v>None Offered</v>
      </c>
      <c r="H28" s="107"/>
      <c r="I28" s="107"/>
      <c r="J28" s="107">
        <f t="shared" si="6"/>
        <v>0</v>
      </c>
      <c r="K28" s="107">
        <f t="shared" si="7"/>
        <v>0</v>
      </c>
      <c r="L28" s="108" t="str">
        <f t="shared" si="8"/>
        <v>To Be Determined</v>
      </c>
      <c r="M28" s="108" t="str">
        <f t="shared" si="9"/>
        <v>To Be Determined</v>
      </c>
      <c r="N28" s="109">
        <v>0</v>
      </c>
      <c r="O28" s="106">
        <f t="shared" si="10"/>
        <v>0</v>
      </c>
      <c r="P28" s="109">
        <v>0</v>
      </c>
      <c r="Q28" s="106">
        <f t="shared" si="11"/>
        <v>0</v>
      </c>
      <c r="R28" s="110">
        <v>0</v>
      </c>
      <c r="S28" s="110">
        <v>0</v>
      </c>
      <c r="T28" s="109">
        <v>0</v>
      </c>
      <c r="U28" s="106">
        <f t="shared" si="0"/>
        <v>0</v>
      </c>
      <c r="V28" s="111">
        <v>0</v>
      </c>
      <c r="W28" s="106">
        <f t="shared" si="1"/>
        <v>0</v>
      </c>
      <c r="X28" s="112" t="s">
        <v>144</v>
      </c>
      <c r="Y28" s="112" t="s">
        <v>38</v>
      </c>
      <c r="Z28" s="106">
        <v>0</v>
      </c>
      <c r="AA28" s="112" t="s">
        <v>144</v>
      </c>
      <c r="AB28" s="112" t="s">
        <v>38</v>
      </c>
      <c r="AC28" s="106">
        <v>0</v>
      </c>
      <c r="AD28" s="113"/>
      <c r="AE28" s="133"/>
      <c r="AF28" s="94"/>
      <c r="AG28" s="95"/>
      <c r="AH28" s="96"/>
    </row>
    <row r="29" spans="1:34" ht="40" customHeight="1" x14ac:dyDescent="0.85">
      <c r="B29" s="114">
        <v>6</v>
      </c>
      <c r="C29" s="115"/>
      <c r="D29" s="117" t="str">
        <f t="shared" si="2"/>
        <v>To Be Determined</v>
      </c>
      <c r="E29" s="117" t="str">
        <f t="shared" si="3"/>
        <v>To Be Determined</v>
      </c>
      <c r="F29" s="117" t="str">
        <f t="shared" si="4"/>
        <v>None Offered</v>
      </c>
      <c r="G29" s="117" t="str">
        <f t="shared" si="5"/>
        <v>None Offered</v>
      </c>
      <c r="H29" s="117"/>
      <c r="I29" s="117"/>
      <c r="J29" s="117">
        <f t="shared" si="6"/>
        <v>0</v>
      </c>
      <c r="K29" s="117">
        <f t="shared" si="7"/>
        <v>0</v>
      </c>
      <c r="L29" s="118" t="str">
        <f t="shared" si="8"/>
        <v>To Be Determined</v>
      </c>
      <c r="M29" s="118" t="str">
        <f t="shared" si="9"/>
        <v>To Be Determined</v>
      </c>
      <c r="N29" s="119">
        <v>0</v>
      </c>
      <c r="O29" s="116">
        <f t="shared" si="10"/>
        <v>0</v>
      </c>
      <c r="P29" s="119">
        <v>0</v>
      </c>
      <c r="Q29" s="116">
        <f t="shared" si="11"/>
        <v>0</v>
      </c>
      <c r="R29" s="120">
        <v>0</v>
      </c>
      <c r="S29" s="120">
        <v>0</v>
      </c>
      <c r="T29" s="119">
        <v>0</v>
      </c>
      <c r="U29" s="116">
        <f t="shared" si="0"/>
        <v>0</v>
      </c>
      <c r="V29" s="119">
        <v>0</v>
      </c>
      <c r="W29" s="116">
        <f t="shared" si="1"/>
        <v>0</v>
      </c>
      <c r="X29" s="121" t="s">
        <v>144</v>
      </c>
      <c r="Y29" s="121" t="s">
        <v>38</v>
      </c>
      <c r="Z29" s="117">
        <v>0</v>
      </c>
      <c r="AA29" s="121" t="s">
        <v>144</v>
      </c>
      <c r="AB29" s="121" t="s">
        <v>38</v>
      </c>
      <c r="AC29" s="117">
        <v>0</v>
      </c>
      <c r="AD29" s="122"/>
      <c r="AE29" s="134"/>
      <c r="AF29" s="94"/>
      <c r="AG29" s="95"/>
      <c r="AH29" s="96"/>
    </row>
    <row r="30" spans="1:34" ht="40" customHeight="1" x14ac:dyDescent="0.85">
      <c r="B30" s="105">
        <v>7</v>
      </c>
      <c r="C30" s="98"/>
      <c r="D30" s="107" t="str">
        <f t="shared" si="2"/>
        <v>To Be Determined</v>
      </c>
      <c r="E30" s="107" t="str">
        <f t="shared" si="3"/>
        <v>To Be Determined</v>
      </c>
      <c r="F30" s="107" t="str">
        <f t="shared" si="4"/>
        <v>None Offered</v>
      </c>
      <c r="G30" s="107" t="str">
        <f t="shared" si="5"/>
        <v>None Offered</v>
      </c>
      <c r="H30" s="107"/>
      <c r="I30" s="107"/>
      <c r="J30" s="107">
        <f t="shared" si="6"/>
        <v>0</v>
      </c>
      <c r="K30" s="107">
        <f t="shared" si="7"/>
        <v>0</v>
      </c>
      <c r="L30" s="108" t="str">
        <f t="shared" si="8"/>
        <v>To Be Determined</v>
      </c>
      <c r="M30" s="108" t="str">
        <f t="shared" si="9"/>
        <v>To Be Determined</v>
      </c>
      <c r="N30" s="109">
        <v>0</v>
      </c>
      <c r="O30" s="106">
        <f t="shared" si="10"/>
        <v>0</v>
      </c>
      <c r="P30" s="109">
        <v>0</v>
      </c>
      <c r="Q30" s="106">
        <f t="shared" si="11"/>
        <v>0</v>
      </c>
      <c r="R30" s="110">
        <v>0</v>
      </c>
      <c r="S30" s="110">
        <v>0</v>
      </c>
      <c r="T30" s="109">
        <v>0</v>
      </c>
      <c r="U30" s="106">
        <f t="shared" si="0"/>
        <v>0</v>
      </c>
      <c r="V30" s="111">
        <v>0</v>
      </c>
      <c r="W30" s="106">
        <f t="shared" si="1"/>
        <v>0</v>
      </c>
      <c r="X30" s="112" t="s">
        <v>144</v>
      </c>
      <c r="Y30" s="112" t="s">
        <v>38</v>
      </c>
      <c r="Z30" s="106">
        <v>0</v>
      </c>
      <c r="AA30" s="112" t="s">
        <v>144</v>
      </c>
      <c r="AB30" s="112" t="s">
        <v>38</v>
      </c>
      <c r="AC30" s="106">
        <v>0</v>
      </c>
      <c r="AD30" s="113"/>
      <c r="AE30" s="133"/>
      <c r="AF30" s="94">
        <v>4</v>
      </c>
      <c r="AG30" s="95"/>
      <c r="AH30" s="96"/>
    </row>
    <row r="31" spans="1:34" ht="40" customHeight="1" x14ac:dyDescent="0.85">
      <c r="B31" s="114">
        <v>8</v>
      </c>
      <c r="C31" s="115"/>
      <c r="D31" s="117" t="str">
        <f t="shared" si="2"/>
        <v>To Be Determined</v>
      </c>
      <c r="E31" s="117" t="str">
        <f t="shared" si="3"/>
        <v>To Be Determined</v>
      </c>
      <c r="F31" s="117" t="str">
        <f t="shared" si="4"/>
        <v>None Offered</v>
      </c>
      <c r="G31" s="117" t="str">
        <f t="shared" si="5"/>
        <v>None Offered</v>
      </c>
      <c r="H31" s="117"/>
      <c r="I31" s="117"/>
      <c r="J31" s="117">
        <f t="shared" si="6"/>
        <v>0</v>
      </c>
      <c r="K31" s="117">
        <f t="shared" si="7"/>
        <v>0</v>
      </c>
      <c r="L31" s="118" t="str">
        <f t="shared" si="8"/>
        <v>To Be Determined</v>
      </c>
      <c r="M31" s="118" t="str">
        <f t="shared" si="9"/>
        <v>To Be Determined</v>
      </c>
      <c r="N31" s="119">
        <v>0</v>
      </c>
      <c r="O31" s="116">
        <f t="shared" si="10"/>
        <v>0</v>
      </c>
      <c r="P31" s="119">
        <v>0</v>
      </c>
      <c r="Q31" s="116">
        <f t="shared" si="11"/>
        <v>0</v>
      </c>
      <c r="R31" s="120">
        <v>0</v>
      </c>
      <c r="S31" s="120">
        <v>0</v>
      </c>
      <c r="T31" s="119">
        <v>0</v>
      </c>
      <c r="U31" s="116">
        <f t="shared" si="0"/>
        <v>0</v>
      </c>
      <c r="V31" s="119">
        <v>0</v>
      </c>
      <c r="W31" s="116">
        <f t="shared" si="1"/>
        <v>0</v>
      </c>
      <c r="X31" s="121" t="s">
        <v>144</v>
      </c>
      <c r="Y31" s="121" t="s">
        <v>38</v>
      </c>
      <c r="Z31" s="117">
        <v>0</v>
      </c>
      <c r="AA31" s="121" t="s">
        <v>144</v>
      </c>
      <c r="AB31" s="121" t="s">
        <v>38</v>
      </c>
      <c r="AC31" s="117">
        <v>0</v>
      </c>
      <c r="AD31" s="122"/>
      <c r="AE31" s="134"/>
      <c r="AF31" s="94"/>
      <c r="AG31" s="95"/>
      <c r="AH31" s="96"/>
    </row>
    <row r="32" spans="1:34" ht="40" customHeight="1" x14ac:dyDescent="0.85">
      <c r="B32" s="105">
        <v>9</v>
      </c>
      <c r="C32" s="98"/>
      <c r="D32" s="107" t="str">
        <f t="shared" si="2"/>
        <v>To Be Determined</v>
      </c>
      <c r="E32" s="107" t="str">
        <f t="shared" si="3"/>
        <v>To Be Determined</v>
      </c>
      <c r="F32" s="107" t="str">
        <f t="shared" si="4"/>
        <v>None Offered</v>
      </c>
      <c r="G32" s="107" t="str">
        <f t="shared" si="5"/>
        <v>None Offered</v>
      </c>
      <c r="H32" s="107"/>
      <c r="I32" s="107"/>
      <c r="J32" s="107">
        <f t="shared" si="6"/>
        <v>0</v>
      </c>
      <c r="K32" s="107">
        <f t="shared" si="7"/>
        <v>0</v>
      </c>
      <c r="L32" s="108" t="str">
        <f t="shared" si="8"/>
        <v>To Be Determined</v>
      </c>
      <c r="M32" s="108" t="str">
        <f t="shared" si="9"/>
        <v>To Be Determined</v>
      </c>
      <c r="N32" s="109">
        <v>0</v>
      </c>
      <c r="O32" s="106">
        <f t="shared" si="10"/>
        <v>0</v>
      </c>
      <c r="P32" s="109">
        <v>0</v>
      </c>
      <c r="Q32" s="106">
        <f t="shared" si="11"/>
        <v>0</v>
      </c>
      <c r="R32" s="110">
        <v>0</v>
      </c>
      <c r="S32" s="110">
        <v>0</v>
      </c>
      <c r="T32" s="109">
        <v>0</v>
      </c>
      <c r="U32" s="106">
        <f t="shared" si="0"/>
        <v>0</v>
      </c>
      <c r="V32" s="111">
        <v>0</v>
      </c>
      <c r="W32" s="106">
        <f t="shared" si="1"/>
        <v>0</v>
      </c>
      <c r="X32" s="112" t="s">
        <v>144</v>
      </c>
      <c r="Y32" s="112" t="s">
        <v>38</v>
      </c>
      <c r="Z32" s="106">
        <v>0</v>
      </c>
      <c r="AA32" s="112" t="s">
        <v>144</v>
      </c>
      <c r="AB32" s="112" t="s">
        <v>38</v>
      </c>
      <c r="AC32" s="106">
        <v>0</v>
      </c>
      <c r="AD32" s="113"/>
      <c r="AE32" s="133"/>
      <c r="AF32" s="94">
        <v>5</v>
      </c>
      <c r="AG32" s="95"/>
      <c r="AH32" s="96"/>
    </row>
    <row r="33" spans="2:34" ht="40" customHeight="1" x14ac:dyDescent="0.85">
      <c r="B33" s="114">
        <v>10</v>
      </c>
      <c r="C33" s="115"/>
      <c r="D33" s="117" t="str">
        <f t="shared" si="2"/>
        <v>To Be Determined</v>
      </c>
      <c r="E33" s="117" t="str">
        <f t="shared" si="3"/>
        <v>To Be Determined</v>
      </c>
      <c r="F33" s="117" t="str">
        <f t="shared" si="4"/>
        <v>None Offered</v>
      </c>
      <c r="G33" s="117" t="str">
        <f t="shared" si="5"/>
        <v>None Offered</v>
      </c>
      <c r="H33" s="117"/>
      <c r="I33" s="117"/>
      <c r="J33" s="117">
        <f t="shared" si="6"/>
        <v>0</v>
      </c>
      <c r="K33" s="117">
        <f t="shared" si="7"/>
        <v>0</v>
      </c>
      <c r="L33" s="118" t="str">
        <f t="shared" si="8"/>
        <v>To Be Determined</v>
      </c>
      <c r="M33" s="118" t="str">
        <f t="shared" si="9"/>
        <v>To Be Determined</v>
      </c>
      <c r="N33" s="119">
        <v>0</v>
      </c>
      <c r="O33" s="116">
        <f t="shared" si="10"/>
        <v>0</v>
      </c>
      <c r="P33" s="119">
        <v>0</v>
      </c>
      <c r="Q33" s="116">
        <f t="shared" si="11"/>
        <v>0</v>
      </c>
      <c r="R33" s="120">
        <v>0</v>
      </c>
      <c r="S33" s="120">
        <v>0</v>
      </c>
      <c r="T33" s="119">
        <v>0</v>
      </c>
      <c r="U33" s="116">
        <f t="shared" si="0"/>
        <v>0</v>
      </c>
      <c r="V33" s="119">
        <v>0</v>
      </c>
      <c r="W33" s="116">
        <f t="shared" si="1"/>
        <v>0</v>
      </c>
      <c r="X33" s="121" t="s">
        <v>144</v>
      </c>
      <c r="Y33" s="121" t="s">
        <v>38</v>
      </c>
      <c r="Z33" s="117">
        <v>0</v>
      </c>
      <c r="AA33" s="121" t="s">
        <v>144</v>
      </c>
      <c r="AB33" s="121" t="s">
        <v>38</v>
      </c>
      <c r="AC33" s="117">
        <v>0</v>
      </c>
      <c r="AD33" s="122"/>
      <c r="AE33" s="134"/>
      <c r="AF33" s="94"/>
      <c r="AG33" s="97"/>
      <c r="AH33" s="96"/>
    </row>
    <row r="34" spans="2:34" ht="40" customHeight="1" x14ac:dyDescent="0.85">
      <c r="B34" s="105">
        <v>11</v>
      </c>
      <c r="C34" s="98"/>
      <c r="D34" s="107" t="str">
        <f t="shared" si="2"/>
        <v>To Be Determined</v>
      </c>
      <c r="E34" s="107" t="str">
        <f t="shared" si="3"/>
        <v>To Be Determined</v>
      </c>
      <c r="F34" s="107" t="str">
        <f t="shared" si="4"/>
        <v>None Offered</v>
      </c>
      <c r="G34" s="107" t="str">
        <f t="shared" si="5"/>
        <v>None Offered</v>
      </c>
      <c r="H34" s="107"/>
      <c r="I34" s="107"/>
      <c r="J34" s="107">
        <f t="shared" si="6"/>
        <v>0</v>
      </c>
      <c r="K34" s="107">
        <f t="shared" si="7"/>
        <v>0</v>
      </c>
      <c r="L34" s="108" t="str">
        <f t="shared" si="8"/>
        <v>To Be Determined</v>
      </c>
      <c r="M34" s="108" t="str">
        <f t="shared" si="9"/>
        <v>To Be Determined</v>
      </c>
      <c r="N34" s="109">
        <v>0</v>
      </c>
      <c r="O34" s="106">
        <f t="shared" si="10"/>
        <v>0</v>
      </c>
      <c r="P34" s="109">
        <v>0</v>
      </c>
      <c r="Q34" s="106">
        <f t="shared" si="11"/>
        <v>0</v>
      </c>
      <c r="R34" s="110">
        <v>0</v>
      </c>
      <c r="S34" s="110">
        <v>0</v>
      </c>
      <c r="T34" s="109">
        <v>0</v>
      </c>
      <c r="U34" s="106">
        <f t="shared" si="0"/>
        <v>0</v>
      </c>
      <c r="V34" s="111">
        <v>0</v>
      </c>
      <c r="W34" s="106">
        <f t="shared" si="1"/>
        <v>0</v>
      </c>
      <c r="X34" s="112" t="s">
        <v>144</v>
      </c>
      <c r="Y34" s="112" t="s">
        <v>38</v>
      </c>
      <c r="Z34" s="106">
        <v>0</v>
      </c>
      <c r="AA34" s="112" t="s">
        <v>144</v>
      </c>
      <c r="AB34" s="112" t="s">
        <v>38</v>
      </c>
      <c r="AC34" s="106">
        <v>0</v>
      </c>
      <c r="AD34" s="113"/>
      <c r="AE34" s="133"/>
      <c r="AF34" s="94"/>
      <c r="AG34" s="97"/>
      <c r="AH34" s="96"/>
    </row>
    <row r="35" spans="2:34" ht="40" customHeight="1" x14ac:dyDescent="0.85">
      <c r="B35" s="114">
        <v>12</v>
      </c>
      <c r="C35" s="115"/>
      <c r="D35" s="117" t="str">
        <f t="shared" si="2"/>
        <v>To Be Determined</v>
      </c>
      <c r="E35" s="117" t="str">
        <f t="shared" si="3"/>
        <v>To Be Determined</v>
      </c>
      <c r="F35" s="117" t="str">
        <f t="shared" si="4"/>
        <v>None Offered</v>
      </c>
      <c r="G35" s="117" t="str">
        <f t="shared" si="5"/>
        <v>None Offered</v>
      </c>
      <c r="H35" s="117"/>
      <c r="I35" s="117"/>
      <c r="J35" s="117">
        <f t="shared" si="6"/>
        <v>0</v>
      </c>
      <c r="K35" s="117">
        <f t="shared" si="7"/>
        <v>0</v>
      </c>
      <c r="L35" s="118" t="str">
        <f t="shared" si="8"/>
        <v>To Be Determined</v>
      </c>
      <c r="M35" s="118" t="str">
        <f t="shared" si="9"/>
        <v>To Be Determined</v>
      </c>
      <c r="N35" s="119">
        <v>0</v>
      </c>
      <c r="O35" s="116">
        <f t="shared" si="10"/>
        <v>0</v>
      </c>
      <c r="P35" s="119">
        <v>0</v>
      </c>
      <c r="Q35" s="116">
        <f t="shared" si="11"/>
        <v>0</v>
      </c>
      <c r="R35" s="120">
        <v>0</v>
      </c>
      <c r="S35" s="120">
        <v>0</v>
      </c>
      <c r="T35" s="119">
        <v>0</v>
      </c>
      <c r="U35" s="116">
        <f t="shared" si="0"/>
        <v>0</v>
      </c>
      <c r="V35" s="119">
        <v>0</v>
      </c>
      <c r="W35" s="116">
        <f t="shared" si="1"/>
        <v>0</v>
      </c>
      <c r="X35" s="121" t="s">
        <v>144</v>
      </c>
      <c r="Y35" s="121" t="s">
        <v>38</v>
      </c>
      <c r="Z35" s="117">
        <v>0</v>
      </c>
      <c r="AA35" s="121" t="s">
        <v>144</v>
      </c>
      <c r="AB35" s="121" t="s">
        <v>38</v>
      </c>
      <c r="AC35" s="117">
        <v>0</v>
      </c>
      <c r="AD35" s="122"/>
      <c r="AE35" s="134"/>
      <c r="AF35" s="94"/>
      <c r="AG35" s="97"/>
      <c r="AH35" s="96"/>
    </row>
    <row r="36" spans="2:34" s="2" customFormat="1" ht="40" customHeight="1" x14ac:dyDescent="0.85">
      <c r="B36" s="164" t="s">
        <v>30</v>
      </c>
      <c r="C36" s="165"/>
      <c r="D36" s="140" t="str">
        <f>IF(O36+U36+Z36=0,"To Be Determined",O36+U36+Z36)</f>
        <v>To Be Determined</v>
      </c>
      <c r="E36" s="140" t="str">
        <f t="shared" ref="E36" si="12">IF(Q36+W36+AC36=0,"To Be Determined",Q36+W36+AC36)</f>
        <v>To Be Determined</v>
      </c>
      <c r="F36" s="140" t="str">
        <f>IF(OR(D14=0,D15=0),"None Offered",SUM(F24:F35))</f>
        <v>None Offered</v>
      </c>
      <c r="G36" s="140" t="str">
        <f>IF(OR(D14=0,D15=0),"None Offered",SUM(G24:G35))</f>
        <v>None Offered</v>
      </c>
      <c r="H36" s="140" t="str">
        <f>IF(SUM(H24:H35)=0,"To Be Determined",SUM(H24:H35))</f>
        <v>To Be Determined</v>
      </c>
      <c r="I36" s="140" t="str">
        <f>IF(SUM(I24:I35)=0,"To Be Determined",SUM(I24:I35))</f>
        <v>To Be Determined</v>
      </c>
      <c r="J36" s="140" t="str">
        <f t="shared" ref="J36:K36" si="13">IF(SUM(J24:J35)=0,"To Be Determined",SUM(J24:J35))</f>
        <v>To Be Determined</v>
      </c>
      <c r="K36" s="140" t="str">
        <f t="shared" si="13"/>
        <v>To Be Determined</v>
      </c>
      <c r="L36" s="141" t="str">
        <f t="shared" ref="L36" si="14">IF(OR(E36=0,J36=0),"To Be Determined",IF(OR(H36&lt;=0,J36&lt;=0),"Immediate",J36/E36))</f>
        <v>To Be Determined</v>
      </c>
      <c r="M36" s="141" t="str">
        <f t="shared" ref="M36" si="15">IF(OR(D36=0,K36=0),"To Be Determined",IF(OR(I36&lt;=0,K36&lt;=0),"Immediate",K36/D36))</f>
        <v>To Be Determined</v>
      </c>
      <c r="N36" s="144" t="s">
        <v>37</v>
      </c>
      <c r="O36" s="140" t="s">
        <v>37</v>
      </c>
      <c r="P36" s="144" t="s">
        <v>37</v>
      </c>
      <c r="Q36" s="140" t="s">
        <v>37</v>
      </c>
      <c r="R36" s="145" t="s">
        <v>37</v>
      </c>
      <c r="S36" s="145" t="s">
        <v>37</v>
      </c>
      <c r="T36" s="144" t="s">
        <v>37</v>
      </c>
      <c r="U36" s="140" t="s">
        <v>37</v>
      </c>
      <c r="V36" s="144" t="s">
        <v>37</v>
      </c>
      <c r="W36" s="140" t="s">
        <v>37</v>
      </c>
      <c r="X36" s="142"/>
      <c r="Y36" s="142"/>
      <c r="Z36" s="140" t="s">
        <v>37</v>
      </c>
      <c r="AA36" s="142"/>
      <c r="AB36" s="142"/>
      <c r="AC36" s="140" t="s">
        <v>37</v>
      </c>
      <c r="AD36" s="143"/>
      <c r="AE36" s="135"/>
      <c r="AF36" s="138"/>
      <c r="AG36" s="139"/>
      <c r="AH36" s="39"/>
    </row>
    <row r="38" spans="2:34" x14ac:dyDescent="0.85">
      <c r="I38" s="96"/>
      <c r="J38" s="96"/>
      <c r="K38" s="96"/>
      <c r="L38" s="96"/>
      <c r="M38" s="96"/>
    </row>
    <row r="39" spans="2:34" ht="19.5" customHeight="1" x14ac:dyDescent="0.85">
      <c r="I39" s="96"/>
      <c r="J39" s="96"/>
      <c r="K39" s="96"/>
      <c r="L39" s="96"/>
      <c r="M39" s="96"/>
    </row>
    <row r="40" spans="2:34" ht="19.5" customHeight="1" x14ac:dyDescent="0.85">
      <c r="I40" s="96"/>
      <c r="J40" s="96"/>
      <c r="K40" s="96"/>
      <c r="L40" s="96"/>
      <c r="M40" s="96"/>
      <c r="S40" s="91">
        <f>O36+U36+Z36</f>
        <v>0</v>
      </c>
    </row>
    <row r="41" spans="2:34" ht="19.5" customHeight="1" x14ac:dyDescent="0.85">
      <c r="I41" s="96"/>
      <c r="J41" s="96"/>
      <c r="K41" s="96"/>
      <c r="L41" s="96"/>
      <c r="M41" s="96"/>
      <c r="S41" s="91">
        <f>Q36+W36+AC36</f>
        <v>0</v>
      </c>
    </row>
    <row r="42" spans="2:34" ht="19.5" customHeight="1" x14ac:dyDescent="0.85">
      <c r="I42" s="96"/>
      <c r="J42" s="96"/>
      <c r="K42" s="96"/>
      <c r="L42" s="96"/>
      <c r="M42" s="96"/>
    </row>
    <row r="43" spans="2:34" ht="19.5" customHeight="1" x14ac:dyDescent="0.85">
      <c r="I43" s="96"/>
      <c r="J43" s="96"/>
      <c r="K43" s="96"/>
      <c r="L43" s="96"/>
      <c r="M43" s="96"/>
    </row>
    <row r="44" spans="2:34" ht="19.5" customHeight="1" x14ac:dyDescent="0.85">
      <c r="I44" s="96"/>
      <c r="J44" s="96"/>
      <c r="K44" s="96"/>
      <c r="L44" s="96"/>
      <c r="M44" s="96"/>
    </row>
    <row r="45" spans="2:34" ht="19.5" customHeight="1" x14ac:dyDescent="0.85">
      <c r="I45" s="96"/>
      <c r="J45" s="96"/>
      <c r="K45" s="96"/>
      <c r="L45" s="96"/>
      <c r="M45" s="96"/>
    </row>
    <row r="46" spans="2:34" ht="19.5" customHeight="1" x14ac:dyDescent="0.85">
      <c r="I46" s="96"/>
      <c r="J46" s="96"/>
      <c r="K46" s="96"/>
      <c r="L46" s="96"/>
      <c r="M46" s="96"/>
    </row>
    <row r="47" spans="2:34" ht="19.5" customHeight="1" x14ac:dyDescent="0.85">
      <c r="I47" s="96"/>
      <c r="J47" s="96"/>
      <c r="K47" s="96"/>
      <c r="L47" s="96"/>
      <c r="M47" s="96"/>
    </row>
    <row r="48" spans="2:34" ht="19.5" customHeight="1" x14ac:dyDescent="0.85">
      <c r="I48" s="96"/>
      <c r="J48" s="96"/>
      <c r="K48" s="96"/>
      <c r="L48" s="96"/>
      <c r="M48" s="96"/>
    </row>
    <row r="49" spans="2:13" ht="19.5" customHeight="1" x14ac:dyDescent="0.85">
      <c r="I49" s="96"/>
      <c r="J49" s="96"/>
      <c r="K49" s="96"/>
      <c r="L49" s="96"/>
      <c r="M49" s="96"/>
    </row>
    <row r="50" spans="2:13" ht="19.5" customHeight="1" x14ac:dyDescent="0.85">
      <c r="I50" s="96"/>
      <c r="J50" s="96"/>
      <c r="K50" s="96"/>
      <c r="L50" s="96"/>
      <c r="M50" s="96"/>
    </row>
    <row r="51" spans="2:13" ht="19.5" customHeight="1" x14ac:dyDescent="0.85">
      <c r="I51" s="96"/>
      <c r="J51" s="96"/>
      <c r="K51" s="96"/>
      <c r="L51" s="96"/>
      <c r="M51" s="96"/>
    </row>
    <row r="52" spans="2:13" ht="19.5" customHeight="1" x14ac:dyDescent="0.85">
      <c r="I52" s="96"/>
      <c r="J52" s="96"/>
      <c r="K52" s="96"/>
      <c r="L52" s="96"/>
      <c r="M52" s="96"/>
    </row>
    <row r="53" spans="2:13" ht="19.5" customHeight="1" x14ac:dyDescent="0.85">
      <c r="I53" s="96"/>
      <c r="J53" s="96"/>
      <c r="K53" s="96"/>
      <c r="L53" s="96"/>
      <c r="M53" s="96"/>
    </row>
    <row r="54" spans="2:13" x14ac:dyDescent="0.85">
      <c r="B54" s="94"/>
      <c r="C54" s="162"/>
      <c r="D54" s="163"/>
      <c r="E54" s="163"/>
      <c r="F54" s="163"/>
      <c r="G54" s="163"/>
      <c r="H54" s="163"/>
      <c r="I54" s="163"/>
      <c r="J54" s="163"/>
      <c r="K54" s="163"/>
      <c r="L54" s="163"/>
    </row>
    <row r="55" spans="2:13" x14ac:dyDescent="0.85">
      <c r="B55" s="94"/>
      <c r="C55" s="162"/>
      <c r="D55" s="163"/>
      <c r="E55" s="163"/>
      <c r="F55" s="163"/>
      <c r="G55" s="163"/>
      <c r="H55" s="163"/>
      <c r="I55" s="163"/>
      <c r="J55" s="163"/>
      <c r="K55" s="163"/>
      <c r="L55" s="163"/>
    </row>
    <row r="56" spans="2:13" x14ac:dyDescent="0.85">
      <c r="B56" s="94"/>
      <c r="C56" s="162"/>
      <c r="D56" s="163"/>
      <c r="E56" s="163"/>
      <c r="F56" s="163"/>
      <c r="G56" s="163"/>
      <c r="H56" s="163"/>
      <c r="I56" s="163"/>
      <c r="J56" s="163"/>
      <c r="K56" s="163"/>
      <c r="L56" s="163"/>
    </row>
    <row r="57" spans="2:13" x14ac:dyDescent="0.85">
      <c r="B57" s="94"/>
      <c r="C57" s="162"/>
      <c r="D57" s="163"/>
      <c r="E57" s="163"/>
      <c r="F57" s="163"/>
      <c r="G57" s="163"/>
      <c r="H57" s="163"/>
      <c r="I57" s="163"/>
      <c r="J57" s="163"/>
      <c r="K57" s="163"/>
      <c r="L57" s="163"/>
    </row>
    <row r="58" spans="2:13" x14ac:dyDescent="0.85">
      <c r="B58" s="94"/>
      <c r="C58" s="162"/>
      <c r="D58" s="163"/>
      <c r="E58" s="163"/>
      <c r="F58" s="163"/>
      <c r="G58" s="163"/>
      <c r="H58" s="163"/>
      <c r="I58" s="163"/>
      <c r="J58" s="163"/>
      <c r="K58" s="163"/>
      <c r="L58" s="163"/>
    </row>
    <row r="59" spans="2:13" x14ac:dyDescent="0.85">
      <c r="B59" s="94"/>
      <c r="C59" s="162"/>
      <c r="D59" s="163"/>
      <c r="E59" s="163"/>
      <c r="F59" s="163"/>
      <c r="G59" s="163"/>
      <c r="H59" s="163"/>
      <c r="I59" s="163"/>
      <c r="J59" s="163"/>
      <c r="K59" s="163"/>
      <c r="L59" s="163"/>
    </row>
  </sheetData>
  <mergeCells count="30">
    <mergeCell ref="T21:W21"/>
    <mergeCell ref="R22:R23"/>
    <mergeCell ref="S22:S23"/>
    <mergeCell ref="F20:G22"/>
    <mergeCell ref="J20:K22"/>
    <mergeCell ref="AD20:AD23"/>
    <mergeCell ref="X22:Z22"/>
    <mergeCell ref="N22:O22"/>
    <mergeCell ref="P22:Q22"/>
    <mergeCell ref="R21:S21"/>
    <mergeCell ref="AA22:AC22"/>
    <mergeCell ref="N20:S20"/>
    <mergeCell ref="N21:Q21"/>
    <mergeCell ref="T22:U22"/>
    <mergeCell ref="V22:W22"/>
    <mergeCell ref="T20:W20"/>
    <mergeCell ref="X20:AC21"/>
    <mergeCell ref="B4:C4"/>
    <mergeCell ref="C59:L59"/>
    <mergeCell ref="C54:L54"/>
    <mergeCell ref="C55:L55"/>
    <mergeCell ref="C56:L56"/>
    <mergeCell ref="C57:L57"/>
    <mergeCell ref="C58:L58"/>
    <mergeCell ref="B36:C36"/>
    <mergeCell ref="H20:I22"/>
    <mergeCell ref="L20:M22"/>
    <mergeCell ref="B20:B23"/>
    <mergeCell ref="C20:C23"/>
    <mergeCell ref="D20:E22"/>
  </mergeCells>
  <phoneticPr fontId="1" type="noConversion"/>
  <hyperlinks>
    <hyperlink ref="H9" r:id="rId1" xr:uid="{00000000-0004-0000-0000-000000000000}"/>
    <hyperlink ref="H10" r:id="rId2" xr:uid="{00000000-0004-0000-0000-000001000000}"/>
    <hyperlink ref="H12" r:id="rId3" xr:uid="{00000000-0004-0000-0000-000002000000}"/>
  </hyperlinks>
  <printOptions horizontalCentered="1"/>
  <pageMargins left="0.25" right="0.25" top="1.75" bottom="0.5" header="0.25" footer="0.25"/>
  <pageSetup scale="66" fitToHeight="3" orientation="landscape" r:id="rId4"/>
  <headerFooter alignWithMargins="0">
    <oddHeader>&amp;L&amp;G
&amp;"Arial,Bold"&amp;18J.W. Marriott Starr Pass Resort&amp;"Arial,Regular"&amp;16
MRCx Finding Summary</oddHeader>
    <oddFooter>&amp;L&amp;"Arial,Regular"Page &amp;P of &amp;N of Sheet &amp;A of File &amp;F&amp;"Comic Sans MS,Regular"
&amp;"Arial,Regular"Printed on &amp;D at &amp;T&amp;R&amp;G</oddFooter>
  </headerFooter>
  <colBreaks count="2" manualBreakCount="2">
    <brk id="13" min="19" max="35" man="1"/>
    <brk id="23" min="19" max="35" man="1"/>
  </colBreaks>
  <drawing r:id="rId5"/>
  <legacyDrawingHF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Initial Cost-Benefit Assessment</vt:lpstr>
      <vt:lpstr>Working Table</vt:lpstr>
      <vt:lpstr>'Working Table'!Print_Area</vt:lpstr>
      <vt:lpstr>'Working Table'!Print_Titles</vt:lpstr>
    </vt:vector>
  </TitlesOfParts>
  <Company>Dell - Personal Systems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Sellers</dc:creator>
  <cp:lastModifiedBy>David Sellers</cp:lastModifiedBy>
  <cp:lastPrinted>2008-02-27T15:44:01Z</cp:lastPrinted>
  <dcterms:created xsi:type="dcterms:W3CDTF">2002-10-15T18:30:13Z</dcterms:created>
  <dcterms:modified xsi:type="dcterms:W3CDTF">2021-07-02T02:09:21Z</dcterms:modified>
</cp:coreProperties>
</file>