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32767" firstSheet="1" activeTab="6"/>
  </bookViews>
  <sheets>
    <sheet name="Exist vs Prop" sheetId="1" r:id="rId1"/>
    <sheet name="Exist vs Prop (2)" sheetId="2" r:id="rId2"/>
    <sheet name="Exist vs Prop (3)" sheetId="3" r:id="rId3"/>
    <sheet name="Exist vs Prop (4)" sheetId="4" r:id="rId4"/>
    <sheet name="Chart1" sheetId="5" r:id="rId5"/>
    <sheet name="Data" sheetId="6" r:id="rId6"/>
    <sheet name="Filter Loading Graph - DMV Data" sheetId="7" r:id="rId7"/>
    <sheet name="Initial pressure drop" sheetId="8" r:id="rId8"/>
    <sheet name="Summary" sheetId="9" r:id="rId9"/>
    <sheet name="Summary - Scheduled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xlnm.Print_Area" localSheetId="7">'Initial pressure drop'!#REF!</definedName>
    <definedName name="_xlnm.Print_Area" localSheetId="8">'Summary'!#REF!</definedName>
    <definedName name="_xlnm.Print_Area" localSheetId="9">'Summary - Scheduled'!#REF!</definedName>
    <definedName name="_xlnm.Print_Area">'Data'!#REF!</definedName>
    <definedName name="_xlnm.Print_Titles" localSheetId="7">'Initial pressure drop'!$1:$17</definedName>
    <definedName name="_xlnm.Print_Titles" localSheetId="9">'Summary - Scheduled'!$1:$17</definedName>
    <definedName name="_xlnm.Print_Titles">'Data'!$1:$17</definedName>
  </definedNames>
  <calcPr fullCalcOnLoad="1"/>
</workbook>
</file>

<file path=xl/sharedStrings.xml><?xml version="1.0" encoding="utf-8"?>
<sst xmlns="http://schemas.openxmlformats.org/spreadsheetml/2006/main" count="358" uniqueCount="143">
  <si>
    <t>Engineering Calculation</t>
  </si>
  <si>
    <t xml:space="preserve">Project Name: </t>
  </si>
  <si>
    <t xml:space="preserve">Project Number: </t>
  </si>
  <si>
    <t xml:space="preserve">Engineer: </t>
  </si>
  <si>
    <t>Assumptions</t>
  </si>
  <si>
    <t>Date:</t>
  </si>
  <si>
    <t>NAME?</t>
  </si>
  <si>
    <t>NUMBER?</t>
  </si>
  <si>
    <t>ENGINEER?</t>
  </si>
  <si>
    <t>????</t>
  </si>
  <si>
    <t>Facility Dynamics Headquarters  - 6760 Alexander Bell Drive,  Suite 200,  Columbia, MD 21046, Phone: (410) 290-0900;  www.facilitydynamics.com</t>
  </si>
  <si>
    <t>Facility Dynamics Satellite Location  - 8560 North Buchanan Avenue,  Portland, Oregon 97203, Phone: ;  www.facilitydynamics.com</t>
  </si>
  <si>
    <t>Interval</t>
  </si>
  <si>
    <t>Number</t>
  </si>
  <si>
    <t>Start Date</t>
  </si>
  <si>
    <t>Weeks</t>
  </si>
  <si>
    <t>Median Date</t>
  </si>
  <si>
    <t>Hours of Operation per Week</t>
  </si>
  <si>
    <t>David</t>
  </si>
  <si>
    <t>Filter</t>
  </si>
  <si>
    <t>Cost</t>
  </si>
  <si>
    <t>Pressure drop, in.w.c.</t>
  </si>
  <si>
    <t>Start</t>
  </si>
  <si>
    <t>End</t>
  </si>
  <si>
    <t>Median</t>
  </si>
  <si>
    <t>Flow rate, cfm</t>
  </si>
  <si>
    <t>Fan Power and Energy</t>
  </si>
  <si>
    <t>Fan efficiency</t>
  </si>
  <si>
    <t>Motor efficiency</t>
  </si>
  <si>
    <t>Fan bhp for filter pressure drop</t>
  </si>
  <si>
    <t>Motor kW for filter pressure drop</t>
  </si>
  <si>
    <t>Drive efficiency</t>
  </si>
  <si>
    <t>Electric rate - $ per kWh</t>
  </si>
  <si>
    <t>kWh</t>
  </si>
  <si>
    <t>Total</t>
  </si>
  <si>
    <t>$</t>
  </si>
  <si>
    <t>End Date</t>
  </si>
  <si>
    <t>Filter First Cost</t>
  </si>
  <si>
    <t>Prefilter</t>
  </si>
  <si>
    <t>Final Filter</t>
  </si>
  <si>
    <t>Installation Labor</t>
  </si>
  <si>
    <t>Disposal</t>
  </si>
  <si>
    <t>Cubic Yards</t>
  </si>
  <si>
    <t>Total Filter Cost</t>
  </si>
  <si>
    <t>Total for the interval</t>
  </si>
  <si>
    <t>Per average day</t>
  </si>
  <si>
    <t>Filter Operating Cost $ per Average Day</t>
  </si>
  <si>
    <t>Fan Energy</t>
  </si>
  <si>
    <t xml:space="preserve">Filter Cost </t>
  </si>
  <si>
    <t>CA DGA DMV</t>
  </si>
  <si>
    <t>Projected clean pressure drops based on manufacturer's rating data</t>
  </si>
  <si>
    <t>AHU-C</t>
  </si>
  <si>
    <t>Filtration Group Series 400, 2"</t>
  </si>
  <si>
    <t>Velocity, fpm</t>
  </si>
  <si>
    <t>Rated pressure drop</t>
  </si>
  <si>
    <t>Linear relationship</t>
  </si>
  <si>
    <t>Square law</t>
  </si>
  <si>
    <t>Average face velocity, AHU-C</t>
  </si>
  <si>
    <t>Projected clean pressure drop, linear interpolation</t>
  </si>
  <si>
    <t>Final filter</t>
  </si>
  <si>
    <t>Filtration Group Series 6 pocket MERV 11, 22" deep</t>
  </si>
  <si>
    <t>Total initial clean pressure drop, AHU-C</t>
  </si>
  <si>
    <t>AHU-A</t>
  </si>
  <si>
    <t>Average face velocity, AHU-A</t>
  </si>
  <si>
    <t>Average cfm per filter, AHU-A</t>
  </si>
  <si>
    <t>Pressure drop vs. time graph</t>
  </si>
  <si>
    <t>AHU-A operating hours per day</t>
  </si>
  <si>
    <t>Normally, but it ran round the clock from the time the VFDs were installed until mid January when the controls were in place for scheduling</t>
  </si>
  <si>
    <t>Number of days AHU-A ran round the clock</t>
  </si>
  <si>
    <t>Approximate, based on discussions with field staff.</t>
  </si>
  <si>
    <t>AHU-C operating hours per day</t>
  </si>
  <si>
    <t>Date</t>
  </si>
  <si>
    <t>Operating hours</t>
  </si>
  <si>
    <t>Rate of Change, in.w.c. per 1,000 hours</t>
  </si>
  <si>
    <t>Hours of Operation for the Interval</t>
  </si>
  <si>
    <t xml:space="preserve">Prefilters - </t>
  </si>
  <si>
    <t xml:space="preserve">Final Filters - </t>
  </si>
  <si>
    <t>Filter Cost</t>
  </si>
  <si>
    <t>Labor Cost</t>
  </si>
  <si>
    <t>Make</t>
  </si>
  <si>
    <t>Model</t>
  </si>
  <si>
    <t>Waste, cu. Yd</t>
  </si>
  <si>
    <t>Disposal Cost</t>
  </si>
  <si>
    <t>Loading assumptions:</t>
  </si>
  <si>
    <t xml:space="preserve">Number of intervals with linear match to DMV Data - </t>
  </si>
  <si>
    <t>Increase</t>
  </si>
  <si>
    <t>Cost per average day through this interval</t>
  </si>
  <si>
    <t>Initial pressure drop from calculations done for 06 AHU2 Zn Lvl Schedule - Savings v1.xls.</t>
  </si>
  <si>
    <t>Camfil Farr</t>
  </si>
  <si>
    <t>S Flow 65/24/24/22/8 (Cost based on recent pricing for similar)</t>
  </si>
  <si>
    <t>24" x 24" x 2" (Cost based on recent pricing for similar)</t>
  </si>
  <si>
    <t>UCB MBCx LeConte Hall AHU-2 Existing Condition</t>
  </si>
  <si>
    <t>Existing Approach</t>
  </si>
  <si>
    <t>Proposed Approach</t>
  </si>
  <si>
    <t>Waste</t>
  </si>
  <si>
    <t>Savings</t>
  </si>
  <si>
    <t>Filters</t>
  </si>
  <si>
    <t>Labor</t>
  </si>
  <si>
    <t>Total Cost</t>
  </si>
  <si>
    <t>Savings Summary - 48 Month Cycle Basis</t>
  </si>
  <si>
    <t xml:space="preserve">Simple payback - </t>
  </si>
  <si>
    <t xml:space="preserve">First year cost premium - </t>
  </si>
  <si>
    <t xml:space="preserve">Life cycle cost premium - </t>
  </si>
  <si>
    <t xml:space="preserve">Life cycle energy savings - </t>
  </si>
  <si>
    <t xml:space="preserve">First year energy savings - </t>
  </si>
  <si>
    <t xml:space="preserve">First year total savings - </t>
  </si>
  <si>
    <t>(more expensive filters)</t>
  </si>
  <si>
    <t>Filter Operating Cost for Proposed Option, $ per Average Day</t>
  </si>
  <si>
    <t>Accumulated Savings</t>
  </si>
  <si>
    <t>Proposed  Approach</t>
  </si>
  <si>
    <t>Cost for the interval</t>
  </si>
  <si>
    <t>y</t>
  </si>
  <si>
    <t xml:space="preserve">EXTENDED SURFACE AREA FILTER SAVINGS </t>
  </si>
  <si>
    <t>Savings Summary</t>
  </si>
  <si>
    <t xml:space="preserve">EXTENDED SURFACE AREA FILTER SIMPLE PAYBACK, ENERGY ONLY </t>
  </si>
  <si>
    <t>First year of operation basis</t>
  </si>
  <si>
    <t>Extended Surface Area Filter Life Cycle Basis</t>
  </si>
  <si>
    <t xml:space="preserve">Life cycle total savings - </t>
  </si>
  <si>
    <t>Savings Summary - First Year Basis</t>
  </si>
  <si>
    <t>years, energy only</t>
  </si>
  <si>
    <t>years, all inclusive</t>
  </si>
  <si>
    <t>life cycles, energy only</t>
  </si>
  <si>
    <t>months, energy only</t>
  </si>
  <si>
    <t>FORMATED TABLE FOR REPORTS AND GRAPHS</t>
  </si>
  <si>
    <t>Electricity</t>
  </si>
  <si>
    <t>cubic yards</t>
  </si>
  <si>
    <t>Simple Payback</t>
  </si>
  <si>
    <t>years (energy only)</t>
  </si>
  <si>
    <t>months (energy only)</t>
  </si>
  <si>
    <t>cu. yd.</t>
  </si>
  <si>
    <t>per year (Current 24/7 operation)</t>
  </si>
  <si>
    <t xml:space="preserve">Current hours of operation - </t>
  </si>
  <si>
    <t xml:space="preserve">Proposed hours of operation - </t>
  </si>
  <si>
    <t>per year (Average proposed from 06 AHU2 Zn Lvl Schedule - Savings v1.xls)</t>
  </si>
  <si>
    <t xml:space="preserve">Ratio - </t>
  </si>
  <si>
    <t>Savings Summary - 24 7 savings adjusted by proposed operating hours ratio</t>
  </si>
  <si>
    <t>months all inclusive</t>
  </si>
  <si>
    <t>UCB MBCx LeConte Hall</t>
  </si>
  <si>
    <t>09084</t>
  </si>
  <si>
    <t>David Sellers</t>
  </si>
  <si>
    <t>Finding:</t>
  </si>
  <si>
    <t>03 AHU1 Filter Upgrade</t>
  </si>
  <si>
    <t>Freudenberg Viledon MV4 24 x 24 x 12 MERV 14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</si>
</sst>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#.\ "/>
    <numFmt numFmtId="166" formatCode="#,##0.0000"/>
    <numFmt numFmtId="167" formatCode="dd\-mmm\-yy_)"/>
    <numFmt numFmtId="168" formatCode="0.0000_)"/>
    <numFmt numFmtId="169" formatCode="0.0_)"/>
    <numFmt numFmtId="170" formatCode="#,##0.0_);\(#,##0.0\)"/>
    <numFmt numFmtId="171" formatCode="#,##0.0"/>
    <numFmt numFmtId="172" formatCode="mmmm\ d\,\ yyyy"/>
    <numFmt numFmtId="173" formatCode="mmmm\ d\,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d\ mm/md/yy"/>
    <numFmt numFmtId="179" formatCode="dddd\ mmmm\ dd\,\ yyyy"/>
    <numFmt numFmtId="180" formatCode="[$-409]dddd\,\ mmmm\ dd\,\ yyyy"/>
    <numFmt numFmtId="181" formatCode="m/d/yy;@"/>
    <numFmt numFmtId="182" formatCode="&quot;$&quot;#,##0"/>
    <numFmt numFmtId="183" formatCode="&quot;$&quot;#,##0.00"/>
    <numFmt numFmtId="184" formatCode="&quot;$&quot;#,##0.0000"/>
    <numFmt numFmtId="185" formatCode="[$-F800]dddd\,\ mmmm\ dd\,\ yyyy"/>
    <numFmt numFmtId="186" formatCode="[$-409]h:mm:ss\ AM/PM"/>
    <numFmt numFmtId="187" formatCode="mm/dd/yy;@"/>
    <numFmt numFmtId="188" formatCode="#,##0.000"/>
    <numFmt numFmtId="189" formatCode="#,##0.0_);[Red]\(#,##0.0\)"/>
    <numFmt numFmtId="190" formatCode="[$-409]dddd\,\ mmmm\ d\,\ yyyy"/>
  </numFmts>
  <fonts count="60">
    <font>
      <sz val="12"/>
      <name val="Comic Sans MS"/>
      <family val="4"/>
    </font>
    <font>
      <sz val="10"/>
      <name val="Comic Sans MS"/>
      <family val="0"/>
    </font>
    <font>
      <sz val="12"/>
      <color indexed="8"/>
      <name val="Comic Sans MS"/>
      <family val="4"/>
    </font>
    <font>
      <i/>
      <sz val="12"/>
      <color indexed="8"/>
      <name val="Times New Roman"/>
      <family val="1"/>
    </font>
    <font>
      <b/>
      <sz val="12"/>
      <color indexed="8"/>
      <name val="Comic Sans MS"/>
      <family val="4"/>
    </font>
    <font>
      <i/>
      <sz val="12"/>
      <name val="Comic Sans MS"/>
      <family val="4"/>
    </font>
    <font>
      <sz val="12"/>
      <color indexed="8"/>
      <name val="Symath"/>
      <family val="0"/>
    </font>
    <font>
      <b/>
      <sz val="12"/>
      <color indexed="9"/>
      <name val="Comic Sans MS"/>
      <family val="4"/>
    </font>
    <font>
      <sz val="12"/>
      <color indexed="9"/>
      <name val="Comic Sans MS"/>
      <family val="4"/>
    </font>
    <font>
      <i/>
      <sz val="12"/>
      <color indexed="9"/>
      <name val="Comic Sans MS"/>
      <family val="4"/>
    </font>
    <font>
      <b/>
      <sz val="12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u val="single"/>
      <sz val="9"/>
      <color indexed="12"/>
      <name val="Comic Sans MS"/>
      <family val="4"/>
    </font>
    <font>
      <u val="single"/>
      <sz val="9"/>
      <color indexed="36"/>
      <name val="Comic Sans MS"/>
      <family val="4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2.85"/>
      <color indexed="8"/>
      <name val="Arial"/>
      <family val="2"/>
    </font>
    <font>
      <sz val="12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8"/>
      <color indexed="62"/>
      <name val="Arial"/>
      <family val="2"/>
    </font>
    <font>
      <sz val="13"/>
      <color indexed="8"/>
      <name val="Arial"/>
      <family val="2"/>
    </font>
    <font>
      <sz val="13"/>
      <color indexed="8"/>
      <name val="Symat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9">
    <xf numFmtId="0" fontId="0" fillId="0" borderId="0" xfId="0" applyAlignment="1">
      <alignment vertical="top"/>
    </xf>
    <xf numFmtId="0" fontId="0" fillId="0" borderId="0" xfId="57">
      <alignment vertical="top"/>
      <protection/>
    </xf>
    <xf numFmtId="3" fontId="0" fillId="0" borderId="0" xfId="57" applyNumberFormat="1">
      <alignment vertical="top"/>
      <protection/>
    </xf>
    <xf numFmtId="0" fontId="2" fillId="0" borderId="0" xfId="57" applyFont="1" applyProtection="1">
      <alignment vertical="top"/>
      <protection/>
    </xf>
    <xf numFmtId="0" fontId="3" fillId="0" borderId="0" xfId="57" applyFont="1" applyAlignment="1" applyProtection="1">
      <alignment horizontal="left" vertical="top"/>
      <protection/>
    </xf>
    <xf numFmtId="3" fontId="3" fillId="0" borderId="0" xfId="57" applyNumberFormat="1" applyFont="1" applyProtection="1">
      <alignment vertical="top"/>
      <protection/>
    </xf>
    <xf numFmtId="0" fontId="4" fillId="0" borderId="0" xfId="57" applyFont="1" applyAlignment="1" applyProtection="1">
      <alignment horizontal="left" vertical="top"/>
      <protection/>
    </xf>
    <xf numFmtId="0" fontId="2" fillId="0" borderId="0" xfId="0" applyFont="1" applyFill="1" applyAlignment="1" applyProtection="1">
      <alignment/>
      <protection/>
    </xf>
    <xf numFmtId="4" fontId="2" fillId="0" borderId="0" xfId="0" applyNumberFormat="1" applyFont="1" applyFill="1" applyAlignment="1">
      <alignment horizontal="center" vertical="top"/>
    </xf>
    <xf numFmtId="3" fontId="2" fillId="0" borderId="0" xfId="0" applyNumberFormat="1" applyFont="1" applyFill="1" applyAlignment="1">
      <alignment horizontal="center" vertical="top"/>
    </xf>
    <xf numFmtId="166" fontId="2" fillId="0" borderId="0" xfId="0" applyNumberFormat="1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165" fontId="2" fillId="0" borderId="0" xfId="0" applyNumberFormat="1" applyFont="1" applyFill="1" applyAlignment="1">
      <alignment vertical="top"/>
    </xf>
    <xf numFmtId="0" fontId="5" fillId="0" borderId="0" xfId="57" applyFont="1">
      <alignment vertical="top"/>
      <protection/>
    </xf>
    <xf numFmtId="0" fontId="0" fillId="0" borderId="0" xfId="57" applyAlignment="1">
      <alignment horizontal="right" vertical="top"/>
      <protection/>
    </xf>
    <xf numFmtId="3" fontId="0" fillId="0" borderId="0" xfId="57" applyNumberFormat="1" applyAlignment="1">
      <alignment vertical="top"/>
      <protection/>
    </xf>
    <xf numFmtId="0" fontId="0" fillId="0" borderId="0" xfId="57" applyAlignment="1">
      <alignment vertical="top"/>
      <protection/>
    </xf>
    <xf numFmtId="4" fontId="0" fillId="0" borderId="0" xfId="57" applyNumberFormat="1" applyAlignment="1">
      <alignment vertical="top"/>
      <protection/>
    </xf>
    <xf numFmtId="0" fontId="5" fillId="0" borderId="0" xfId="57" applyFont="1" applyAlignment="1">
      <alignment horizontal="left" vertical="top"/>
      <protection/>
    </xf>
    <xf numFmtId="0" fontId="0" fillId="0" borderId="0" xfId="57" applyAlignment="1">
      <alignment horizontal="left" vertical="top" wrapText="1"/>
      <protection/>
    </xf>
    <xf numFmtId="3" fontId="0" fillId="0" borderId="0" xfId="57" applyNumberFormat="1" applyAlignment="1">
      <alignment horizontal="right" vertical="top"/>
      <protection/>
    </xf>
    <xf numFmtId="0" fontId="0" fillId="0" borderId="0" xfId="57" applyAlignment="1">
      <alignment horizontal="left" vertical="top"/>
      <protection/>
    </xf>
    <xf numFmtId="3" fontId="0" fillId="0" borderId="0" xfId="57" applyNumberFormat="1" applyAlignment="1" quotePrefix="1">
      <alignment horizontal="left" vertical="top"/>
      <protection/>
    </xf>
    <xf numFmtId="16" fontId="2" fillId="0" borderId="0" xfId="0" applyNumberFormat="1" applyFont="1" applyFill="1" applyAlignment="1">
      <alignment horizontal="center" vertical="top"/>
    </xf>
    <xf numFmtId="3" fontId="2" fillId="0" borderId="0" xfId="57" applyNumberFormat="1" applyFont="1" applyProtection="1">
      <alignment vertical="top"/>
      <protection/>
    </xf>
    <xf numFmtId="0" fontId="2" fillId="0" borderId="0" xfId="0" applyFont="1" applyFill="1" applyAlignment="1">
      <alignment horizontal="left" vertical="top"/>
    </xf>
    <xf numFmtId="3" fontId="2" fillId="0" borderId="0" xfId="57" applyNumberFormat="1" applyFont="1">
      <alignment vertical="top"/>
      <protection/>
    </xf>
    <xf numFmtId="0" fontId="0" fillId="0" borderId="0" xfId="57" applyFill="1">
      <alignment vertical="top"/>
      <protection/>
    </xf>
    <xf numFmtId="3" fontId="0" fillId="0" borderId="0" xfId="57" applyNumberFormat="1" applyFill="1">
      <alignment vertical="top"/>
      <protection/>
    </xf>
    <xf numFmtId="0" fontId="2" fillId="0" borderId="0" xfId="57" applyFont="1" applyFill="1" applyProtection="1">
      <alignment vertical="top"/>
      <protection/>
    </xf>
    <xf numFmtId="179" fontId="0" fillId="0" borderId="0" xfId="0" applyNumberFormat="1" applyAlignment="1">
      <alignment horizontal="left" vertical="top"/>
    </xf>
    <xf numFmtId="0" fontId="0" fillId="0" borderId="0" xfId="57" applyAlignment="1">
      <alignment horizontal="right" vertical="top" wrapText="1"/>
      <protection/>
    </xf>
    <xf numFmtId="0" fontId="0" fillId="0" borderId="0" xfId="57" applyAlignment="1">
      <alignment vertical="top" wrapText="1"/>
      <protection/>
    </xf>
    <xf numFmtId="3" fontId="0" fillId="0" borderId="0" xfId="57" applyNumberFormat="1" applyFill="1" applyAlignment="1">
      <alignment horizontal="center" vertical="top"/>
      <protection/>
    </xf>
    <xf numFmtId="0" fontId="2" fillId="0" borderId="0" xfId="57" applyFont="1" applyFill="1" applyAlignment="1" applyProtection="1">
      <alignment horizontal="center" vertical="top"/>
      <protection/>
    </xf>
    <xf numFmtId="0" fontId="0" fillId="0" borderId="0" xfId="57" applyFill="1" applyAlignment="1">
      <alignment horizontal="center" vertical="top"/>
      <protection/>
    </xf>
    <xf numFmtId="3" fontId="3" fillId="0" borderId="0" xfId="57" applyNumberFormat="1" applyFont="1" applyAlignment="1" applyProtection="1">
      <alignment horizontal="center" vertical="top"/>
      <protection/>
    </xf>
    <xf numFmtId="0" fontId="2" fillId="0" borderId="0" xfId="57" applyFont="1" applyAlignment="1" applyProtection="1">
      <alignment horizontal="center" vertical="top"/>
      <protection/>
    </xf>
    <xf numFmtId="0" fontId="0" fillId="0" borderId="0" xfId="57" applyAlignment="1">
      <alignment horizontal="center" vertical="top"/>
      <protection/>
    </xf>
    <xf numFmtId="3" fontId="2" fillId="0" borderId="0" xfId="57" applyNumberFormat="1" applyFont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3" fontId="2" fillId="0" borderId="0" xfId="57" applyNumberFormat="1" applyFont="1" applyAlignment="1">
      <alignment horizontal="center" vertical="top"/>
      <protection/>
    </xf>
    <xf numFmtId="0" fontId="0" fillId="0" borderId="0" xfId="57" applyFont="1" applyAlignment="1">
      <alignment horizontal="center" vertical="top"/>
      <protection/>
    </xf>
    <xf numFmtId="3" fontId="0" fillId="0" borderId="0" xfId="57" applyNumberFormat="1" applyAlignment="1">
      <alignment horizontal="center" vertical="top"/>
      <protection/>
    </xf>
    <xf numFmtId="3" fontId="0" fillId="0" borderId="0" xfId="57" applyNumberFormat="1" applyAlignment="1" quotePrefix="1">
      <alignment horizontal="center" vertical="top"/>
      <protection/>
    </xf>
    <xf numFmtId="4" fontId="0" fillId="0" borderId="0" xfId="57" applyNumberFormat="1" applyAlignment="1">
      <alignment horizontal="center" vertical="top"/>
      <protection/>
    </xf>
    <xf numFmtId="3" fontId="0" fillId="0" borderId="0" xfId="57" applyNumberFormat="1" applyFont="1" applyAlignment="1">
      <alignment horizontal="center" vertical="top"/>
      <protection/>
    </xf>
    <xf numFmtId="181" fontId="0" fillId="0" borderId="0" xfId="57" applyNumberFormat="1" applyAlignment="1">
      <alignment horizontal="center" vertical="top"/>
      <protection/>
    </xf>
    <xf numFmtId="181" fontId="0" fillId="33" borderId="0" xfId="57" applyNumberFormat="1" applyFill="1" applyAlignment="1">
      <alignment horizontal="center" vertical="top"/>
      <protection/>
    </xf>
    <xf numFmtId="0" fontId="0" fillId="33" borderId="0" xfId="57" applyFill="1" applyAlignment="1">
      <alignment horizontal="center" vertical="top"/>
      <protection/>
    </xf>
    <xf numFmtId="182" fontId="0" fillId="0" borderId="0" xfId="57" applyNumberFormat="1" applyFill="1" applyAlignment="1">
      <alignment horizontal="center" vertical="top"/>
      <protection/>
    </xf>
    <xf numFmtId="3" fontId="0" fillId="33" borderId="0" xfId="57" applyNumberFormat="1" applyFill="1" applyAlignment="1">
      <alignment horizontal="center" vertical="top"/>
      <protection/>
    </xf>
    <xf numFmtId="182" fontId="0" fillId="0" borderId="0" xfId="57" applyNumberFormat="1" applyAlignment="1">
      <alignment horizontal="center" vertical="top"/>
      <protection/>
    </xf>
    <xf numFmtId="9" fontId="0" fillId="33" borderId="0" xfId="57" applyNumberFormat="1" applyFill="1" applyAlignment="1">
      <alignment horizontal="center" vertical="top"/>
      <protection/>
    </xf>
    <xf numFmtId="184" fontId="0" fillId="0" borderId="0" xfId="57" applyNumberFormat="1" applyAlignment="1">
      <alignment horizontal="center" vertical="top"/>
      <protection/>
    </xf>
    <xf numFmtId="184" fontId="0" fillId="33" borderId="0" xfId="57" applyNumberFormat="1" applyFill="1" applyAlignment="1">
      <alignment horizontal="center" vertical="top"/>
      <protection/>
    </xf>
    <xf numFmtId="9" fontId="0" fillId="0" borderId="0" xfId="57" applyNumberFormat="1" applyAlignment="1">
      <alignment horizontal="center" vertical="top"/>
      <protection/>
    </xf>
    <xf numFmtId="183" fontId="0" fillId="0" borderId="0" xfId="57" applyNumberFormat="1" applyAlignment="1">
      <alignment horizontal="center" vertical="top"/>
      <protection/>
    </xf>
    <xf numFmtId="181" fontId="0" fillId="34" borderId="0" xfId="57" applyNumberFormat="1" applyFill="1" applyAlignment="1">
      <alignment horizontal="center" vertical="top"/>
      <protection/>
    </xf>
    <xf numFmtId="0" fontId="0" fillId="0" borderId="0" xfId="57" applyFont="1">
      <alignment vertical="top"/>
      <protection/>
    </xf>
    <xf numFmtId="3" fontId="0" fillId="0" borderId="0" xfId="57" applyNumberFormat="1" applyFont="1" applyAlignment="1">
      <alignment vertical="top"/>
      <protection/>
    </xf>
    <xf numFmtId="3" fontId="0" fillId="0" borderId="0" xfId="57" applyNumberFormat="1" applyFont="1">
      <alignment vertical="top"/>
      <protection/>
    </xf>
    <xf numFmtId="185" fontId="0" fillId="0" borderId="0" xfId="57" applyNumberFormat="1" applyAlignment="1">
      <alignment horizontal="center" vertical="top"/>
      <protection/>
    </xf>
    <xf numFmtId="166" fontId="0" fillId="0" borderId="0" xfId="57" applyNumberFormat="1" applyAlignment="1">
      <alignment horizontal="center" vertical="top"/>
      <protection/>
    </xf>
    <xf numFmtId="4" fontId="2" fillId="0" borderId="0" xfId="0" applyNumberFormat="1" applyFont="1" applyFill="1" applyAlignment="1">
      <alignment horizontal="left" vertical="top"/>
    </xf>
    <xf numFmtId="183" fontId="2" fillId="0" borderId="0" xfId="0" applyNumberFormat="1" applyFont="1" applyFill="1" applyAlignment="1">
      <alignment horizontal="center" vertical="top"/>
    </xf>
    <xf numFmtId="183" fontId="0" fillId="34" borderId="0" xfId="57" applyNumberFormat="1" applyFill="1" applyAlignment="1">
      <alignment horizontal="center" vertical="top"/>
      <protection/>
    </xf>
    <xf numFmtId="4" fontId="0" fillId="34" borderId="0" xfId="57" applyNumberFormat="1" applyFill="1" applyAlignment="1">
      <alignment horizontal="center" vertical="top"/>
      <protection/>
    </xf>
    <xf numFmtId="166" fontId="0" fillId="0" borderId="0" xfId="57" applyNumberFormat="1" applyFill="1" applyAlignment="1">
      <alignment horizontal="center" vertical="top"/>
      <protection/>
    </xf>
    <xf numFmtId="166" fontId="0" fillId="33" borderId="0" xfId="57" applyNumberFormat="1" applyFill="1" applyAlignment="1">
      <alignment horizontal="center" vertical="top"/>
      <protection/>
    </xf>
    <xf numFmtId="166" fontId="0" fillId="34" borderId="0" xfId="57" applyNumberFormat="1" applyFill="1" applyAlignment="1">
      <alignment horizontal="center" vertical="top"/>
      <protection/>
    </xf>
    <xf numFmtId="183" fontId="0" fillId="0" borderId="0" xfId="57" applyNumberFormat="1" applyFill="1" applyAlignment="1">
      <alignment horizontal="center" vertical="top"/>
      <protection/>
    </xf>
    <xf numFmtId="183" fontId="0" fillId="0" borderId="0" xfId="0" applyNumberFormat="1" applyFont="1" applyAlignment="1">
      <alignment horizontal="center" vertical="top"/>
    </xf>
    <xf numFmtId="183" fontId="0" fillId="35" borderId="0" xfId="57" applyNumberFormat="1" applyFill="1" applyAlignment="1">
      <alignment horizontal="center" vertical="top"/>
      <protection/>
    </xf>
    <xf numFmtId="182" fontId="0" fillId="35" borderId="0" xfId="57" applyNumberFormat="1" applyFill="1" applyAlignment="1">
      <alignment horizontal="center" vertical="top"/>
      <protection/>
    </xf>
    <xf numFmtId="0" fontId="0" fillId="35" borderId="0" xfId="57" applyFont="1" applyFill="1">
      <alignment vertical="top"/>
      <protection/>
    </xf>
    <xf numFmtId="0" fontId="0" fillId="0" borderId="0" xfId="57" applyFont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0" fillId="36" borderId="0" xfId="57" applyFill="1" applyAlignment="1">
      <alignment horizontal="right" vertical="top"/>
      <protection/>
    </xf>
    <xf numFmtId="3" fontId="0" fillId="36" borderId="0" xfId="57" applyNumberFormat="1" applyFill="1" applyAlignment="1">
      <alignment horizontal="center" vertical="top"/>
      <protection/>
    </xf>
    <xf numFmtId="0" fontId="0" fillId="36" borderId="0" xfId="57" applyFill="1" applyAlignment="1">
      <alignment horizontal="center" vertical="top"/>
      <protection/>
    </xf>
    <xf numFmtId="183" fontId="0" fillId="36" borderId="0" xfId="57" applyNumberFormat="1" applyFill="1" applyAlignment="1">
      <alignment horizontal="center" vertical="top"/>
      <protection/>
    </xf>
    <xf numFmtId="166" fontId="0" fillId="36" borderId="0" xfId="57" applyNumberFormat="1" applyFill="1" applyAlignment="1">
      <alignment horizontal="center" vertical="top"/>
      <protection/>
    </xf>
    <xf numFmtId="0" fontId="0" fillId="36" borderId="0" xfId="57" applyFill="1">
      <alignment vertical="top"/>
      <protection/>
    </xf>
    <xf numFmtId="182" fontId="0" fillId="36" borderId="0" xfId="57" applyNumberFormat="1" applyFill="1" applyAlignment="1">
      <alignment horizontal="center" vertical="top"/>
      <protection/>
    </xf>
    <xf numFmtId="0" fontId="0" fillId="35" borderId="0" xfId="57" applyFont="1" applyFill="1" applyAlignment="1">
      <alignment horizontal="right" vertical="top"/>
      <protection/>
    </xf>
    <xf numFmtId="3" fontId="0" fillId="35" borderId="0" xfId="57" applyNumberFormat="1" applyFont="1" applyFill="1" applyAlignment="1">
      <alignment horizontal="center" vertical="top"/>
      <protection/>
    </xf>
    <xf numFmtId="181" fontId="0" fillId="35" borderId="0" xfId="57" applyNumberFormat="1" applyFont="1" applyFill="1" applyAlignment="1">
      <alignment horizontal="center" vertical="top"/>
      <protection/>
    </xf>
    <xf numFmtId="183" fontId="0" fillId="35" borderId="0" xfId="57" applyNumberFormat="1" applyFont="1" applyFill="1" applyAlignment="1">
      <alignment horizontal="center" vertical="top"/>
      <protection/>
    </xf>
    <xf numFmtId="4" fontId="0" fillId="35" borderId="0" xfId="57" applyNumberFormat="1" applyFont="1" applyFill="1" applyAlignment="1">
      <alignment horizontal="center" vertical="top"/>
      <protection/>
    </xf>
    <xf numFmtId="166" fontId="0" fillId="35" borderId="0" xfId="57" applyNumberFormat="1" applyFont="1" applyFill="1" applyAlignment="1">
      <alignment horizontal="center" vertical="top"/>
      <protection/>
    </xf>
    <xf numFmtId="9" fontId="0" fillId="35" borderId="0" xfId="57" applyNumberFormat="1" applyFont="1" applyFill="1" applyAlignment="1">
      <alignment horizontal="center" vertical="top"/>
      <protection/>
    </xf>
    <xf numFmtId="184" fontId="0" fillId="35" borderId="0" xfId="57" applyNumberFormat="1" applyFont="1" applyFill="1" applyAlignment="1">
      <alignment horizontal="center" vertical="top"/>
      <protection/>
    </xf>
    <xf numFmtId="182" fontId="0" fillId="35" borderId="0" xfId="57" applyNumberFormat="1" applyFont="1" applyFill="1" applyAlignment="1">
      <alignment horizontal="center" vertical="top"/>
      <protection/>
    </xf>
    <xf numFmtId="6" fontId="0" fillId="0" borderId="0" xfId="57" applyNumberFormat="1" applyAlignment="1">
      <alignment horizontal="center" vertical="top"/>
      <protection/>
    </xf>
    <xf numFmtId="0" fontId="0" fillId="37" borderId="0" xfId="57" applyFill="1" applyAlignment="1">
      <alignment horizontal="right" vertical="top"/>
      <protection/>
    </xf>
    <xf numFmtId="3" fontId="0" fillId="37" borderId="0" xfId="57" applyNumberFormat="1" applyFill="1" applyAlignment="1">
      <alignment horizontal="center" vertical="top"/>
      <protection/>
    </xf>
    <xf numFmtId="181" fontId="0" fillId="37" borderId="0" xfId="57" applyNumberFormat="1" applyFill="1" applyAlignment="1">
      <alignment horizontal="center" vertical="top"/>
      <protection/>
    </xf>
    <xf numFmtId="183" fontId="0" fillId="37" borderId="0" xfId="57" applyNumberFormat="1" applyFill="1" applyAlignment="1">
      <alignment horizontal="center" vertical="top"/>
      <protection/>
    </xf>
    <xf numFmtId="4" fontId="0" fillId="37" borderId="0" xfId="57" applyNumberFormat="1" applyFill="1" applyAlignment="1">
      <alignment horizontal="center" vertical="top"/>
      <protection/>
    </xf>
    <xf numFmtId="182" fontId="0" fillId="37" borderId="0" xfId="57" applyNumberFormat="1" applyFill="1" applyAlignment="1">
      <alignment horizontal="center" vertical="top"/>
      <protection/>
    </xf>
    <xf numFmtId="166" fontId="0" fillId="37" borderId="0" xfId="57" applyNumberFormat="1" applyFill="1" applyAlignment="1">
      <alignment horizontal="center" vertical="top"/>
      <protection/>
    </xf>
    <xf numFmtId="9" fontId="0" fillId="37" borderId="0" xfId="57" applyNumberFormat="1" applyFill="1" applyAlignment="1">
      <alignment horizontal="center" vertical="top"/>
      <protection/>
    </xf>
    <xf numFmtId="184" fontId="0" fillId="37" borderId="0" xfId="57" applyNumberFormat="1" applyFill="1" applyAlignment="1">
      <alignment horizontal="center" vertical="top"/>
      <protection/>
    </xf>
    <xf numFmtId="0" fontId="0" fillId="37" borderId="0" xfId="57" applyFill="1">
      <alignment vertical="top"/>
      <protection/>
    </xf>
    <xf numFmtId="3" fontId="0" fillId="0" borderId="0" xfId="57" applyNumberFormat="1" applyFont="1" applyAlignment="1">
      <alignment horizontal="right" vertical="top"/>
      <protection/>
    </xf>
    <xf numFmtId="6" fontId="0" fillId="0" borderId="0" xfId="57" applyNumberFormat="1" applyAlignment="1">
      <alignment horizontal="right" vertical="top"/>
      <protection/>
    </xf>
    <xf numFmtId="171" fontId="0" fillId="0" borderId="0" xfId="57" applyNumberFormat="1" applyAlignment="1">
      <alignment vertical="top"/>
      <protection/>
    </xf>
    <xf numFmtId="4" fontId="6" fillId="0" borderId="0" xfId="0" applyNumberFormat="1" applyFont="1" applyFill="1" applyAlignment="1">
      <alignment horizontal="center" vertical="top"/>
    </xf>
    <xf numFmtId="3" fontId="7" fillId="38" borderId="0" xfId="57" applyNumberFormat="1" applyFont="1" applyFill="1" applyAlignment="1">
      <alignment vertical="top"/>
      <protection/>
    </xf>
    <xf numFmtId="3" fontId="8" fillId="38" borderId="0" xfId="57" applyNumberFormat="1" applyFont="1" applyFill="1">
      <alignment vertical="top"/>
      <protection/>
    </xf>
    <xf numFmtId="171" fontId="8" fillId="38" borderId="0" xfId="57" applyNumberFormat="1" applyFont="1" applyFill="1" applyAlignment="1">
      <alignment horizontal="center" vertical="top"/>
      <protection/>
    </xf>
    <xf numFmtId="0" fontId="8" fillId="38" borderId="0" xfId="57" applyFont="1" applyFill="1">
      <alignment vertical="top"/>
      <protection/>
    </xf>
    <xf numFmtId="3" fontId="9" fillId="38" borderId="0" xfId="57" applyNumberFormat="1" applyFont="1" applyFill="1" applyAlignment="1">
      <alignment vertical="top"/>
      <protection/>
    </xf>
    <xf numFmtId="188" fontId="0" fillId="0" borderId="0" xfId="57" applyNumberFormat="1" applyAlignment="1">
      <alignment vertical="top"/>
      <protection/>
    </xf>
    <xf numFmtId="0" fontId="0" fillId="35" borderId="10" xfId="57" applyFill="1" applyBorder="1">
      <alignment vertical="top"/>
      <protection/>
    </xf>
    <xf numFmtId="0" fontId="0" fillId="35" borderId="10" xfId="57" applyFill="1" applyBorder="1" applyAlignment="1">
      <alignment horizontal="center" vertical="top"/>
      <protection/>
    </xf>
    <xf numFmtId="0" fontId="0" fillId="35" borderId="11" xfId="57" applyFill="1" applyBorder="1">
      <alignment vertical="top"/>
      <protection/>
    </xf>
    <xf numFmtId="3" fontId="10" fillId="35" borderId="12" xfId="57" applyNumberFormat="1" applyFont="1" applyFill="1" applyBorder="1" applyAlignment="1">
      <alignment horizontal="right" vertical="top"/>
      <protection/>
    </xf>
    <xf numFmtId="4" fontId="10" fillId="35" borderId="10" xfId="57" applyNumberFormat="1" applyFont="1" applyFill="1" applyBorder="1" applyAlignment="1">
      <alignment vertical="top"/>
      <protection/>
    </xf>
    <xf numFmtId="0" fontId="10" fillId="35" borderId="10" xfId="57" applyFont="1" applyFill="1" applyBorder="1">
      <alignment vertical="top"/>
      <protection/>
    </xf>
    <xf numFmtId="0" fontId="10" fillId="35" borderId="11" xfId="57" applyFont="1" applyFill="1" applyBorder="1">
      <alignment vertical="top"/>
      <protection/>
    </xf>
    <xf numFmtId="171" fontId="10" fillId="35" borderId="10" xfId="57" applyNumberFormat="1" applyFont="1" applyFill="1" applyBorder="1" applyAlignment="1">
      <alignment vertical="top"/>
      <protection/>
    </xf>
    <xf numFmtId="3" fontId="10" fillId="35" borderId="12" xfId="57" applyNumberFormat="1" applyFont="1" applyFill="1" applyBorder="1" applyAlignment="1">
      <alignment vertical="top"/>
      <protection/>
    </xf>
    <xf numFmtId="6" fontId="10" fillId="35" borderId="10" xfId="57" applyNumberFormat="1" applyFont="1" applyFill="1" applyBorder="1" applyAlignment="1">
      <alignment horizontal="center" vertical="top"/>
      <protection/>
    </xf>
    <xf numFmtId="3" fontId="10" fillId="35" borderId="10" xfId="57" applyNumberFormat="1" applyFont="1" applyFill="1" applyBorder="1" applyAlignment="1">
      <alignment horizontal="center" vertical="top"/>
      <protection/>
    </xf>
    <xf numFmtId="4" fontId="10" fillId="35" borderId="11" xfId="57" applyNumberFormat="1" applyFont="1" applyFill="1" applyBorder="1" applyAlignment="1">
      <alignment horizontal="center" vertical="top"/>
      <protection/>
    </xf>
    <xf numFmtId="3" fontId="10" fillId="35" borderId="12" xfId="57" applyNumberFormat="1" applyFont="1" applyFill="1" applyBorder="1">
      <alignment vertical="top"/>
      <protection/>
    </xf>
    <xf numFmtId="0" fontId="10" fillId="35" borderId="10" xfId="57" applyFont="1" applyFill="1" applyBorder="1" applyAlignment="1">
      <alignment horizontal="center" vertical="top"/>
      <protection/>
    </xf>
    <xf numFmtId="6" fontId="12" fillId="0" borderId="13" xfId="57" applyNumberFormat="1" applyFont="1" applyBorder="1" applyAlignment="1">
      <alignment horizontal="center" vertical="top"/>
      <protection/>
    </xf>
    <xf numFmtId="38" fontId="12" fillId="0" borderId="13" xfId="57" applyNumberFormat="1" applyFont="1" applyBorder="1" applyAlignment="1">
      <alignment horizontal="center" vertical="top"/>
      <protection/>
    </xf>
    <xf numFmtId="3" fontId="12" fillId="0" borderId="14" xfId="57" applyNumberFormat="1" applyFont="1" applyBorder="1" applyAlignment="1">
      <alignment horizontal="left" vertical="top" indent="1"/>
      <protection/>
    </xf>
    <xf numFmtId="38" fontId="11" fillId="0" borderId="13" xfId="57" applyNumberFormat="1" applyFont="1" applyBorder="1" applyAlignment="1">
      <alignment horizontal="center" vertical="top"/>
      <protection/>
    </xf>
    <xf numFmtId="6" fontId="11" fillId="0" borderId="13" xfId="57" applyNumberFormat="1" applyFont="1" applyBorder="1" applyAlignment="1">
      <alignment horizontal="center" vertical="top"/>
      <protection/>
    </xf>
    <xf numFmtId="189" fontId="11" fillId="0" borderId="15" xfId="57" applyNumberFormat="1" applyFont="1" applyBorder="1" applyAlignment="1">
      <alignment horizontal="center" vertical="top"/>
      <protection/>
    </xf>
    <xf numFmtId="189" fontId="12" fillId="0" borderId="15" xfId="57" applyNumberFormat="1" applyFont="1" applyBorder="1" applyAlignment="1">
      <alignment horizontal="center" vertical="top"/>
      <protection/>
    </xf>
    <xf numFmtId="3" fontId="14" fillId="39" borderId="14" xfId="57" applyNumberFormat="1" applyFont="1" applyFill="1" applyBorder="1">
      <alignment vertical="top"/>
      <protection/>
    </xf>
    <xf numFmtId="0" fontId="14" fillId="39" borderId="14" xfId="57" applyFont="1" applyFill="1" applyBorder="1">
      <alignment vertical="top"/>
      <protection/>
    </xf>
    <xf numFmtId="6" fontId="15" fillId="39" borderId="16" xfId="57" applyNumberFormat="1" applyFont="1" applyFill="1" applyBorder="1" applyAlignment="1">
      <alignment horizontal="center" vertical="top"/>
      <protection/>
    </xf>
    <xf numFmtId="6" fontId="15" fillId="39" borderId="17" xfId="57" applyNumberFormat="1" applyFont="1" applyFill="1" applyBorder="1" applyAlignment="1">
      <alignment horizontal="center" vertical="top"/>
      <protection/>
    </xf>
    <xf numFmtId="38" fontId="15" fillId="39" borderId="18" xfId="57" applyNumberFormat="1" applyFont="1" applyFill="1" applyBorder="1" applyAlignment="1">
      <alignment horizontal="center" vertical="top"/>
      <protection/>
    </xf>
    <xf numFmtId="6" fontId="15" fillId="39" borderId="18" xfId="57" applyNumberFormat="1" applyFont="1" applyFill="1" applyBorder="1" applyAlignment="1">
      <alignment horizontal="center" vertical="top"/>
      <protection/>
    </xf>
    <xf numFmtId="6" fontId="15" fillId="39" borderId="19" xfId="57" applyNumberFormat="1" applyFont="1" applyFill="1" applyBorder="1" applyAlignment="1">
      <alignment horizontal="center" vertical="top"/>
      <protection/>
    </xf>
    <xf numFmtId="3" fontId="12" fillId="33" borderId="14" xfId="57" applyNumberFormat="1" applyFont="1" applyFill="1" applyBorder="1" applyAlignment="1">
      <alignment horizontal="left" vertical="top" indent="1"/>
      <protection/>
    </xf>
    <xf numFmtId="38" fontId="11" fillId="33" borderId="13" xfId="57" applyNumberFormat="1" applyFont="1" applyFill="1" applyBorder="1" applyAlignment="1">
      <alignment horizontal="center" vertical="top"/>
      <protection/>
    </xf>
    <xf numFmtId="6" fontId="11" fillId="33" borderId="13" xfId="57" applyNumberFormat="1" applyFont="1" applyFill="1" applyBorder="1" applyAlignment="1">
      <alignment horizontal="center" vertical="top"/>
      <protection/>
    </xf>
    <xf numFmtId="189" fontId="11" fillId="33" borderId="15" xfId="57" applyNumberFormat="1" applyFont="1" applyFill="1" applyBorder="1" applyAlignment="1">
      <alignment horizontal="center" vertical="top"/>
      <protection/>
    </xf>
    <xf numFmtId="0" fontId="12" fillId="33" borderId="14" xfId="57" applyFont="1" applyFill="1" applyBorder="1" applyAlignment="1">
      <alignment horizontal="left" vertical="top" indent="1"/>
      <protection/>
    </xf>
    <xf numFmtId="4" fontId="12" fillId="33" borderId="15" xfId="57" applyNumberFormat="1" applyFont="1" applyFill="1" applyBorder="1">
      <alignment vertical="top"/>
      <protection/>
    </xf>
    <xf numFmtId="3" fontId="2" fillId="33" borderId="0" xfId="0" applyNumberFormat="1" applyFont="1" applyFill="1" applyAlignment="1">
      <alignment horizontal="center" vertical="top"/>
    </xf>
    <xf numFmtId="183" fontId="2" fillId="33" borderId="0" xfId="0" applyNumberFormat="1" applyFont="1" applyFill="1" applyAlignment="1">
      <alignment horizontal="center" vertical="top"/>
    </xf>
    <xf numFmtId="4" fontId="2" fillId="33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16" fontId="2" fillId="0" borderId="0" xfId="0" applyNumberFormat="1" applyFont="1" applyFill="1" applyAlignment="1">
      <alignment horizontal="left" vertical="top"/>
    </xf>
    <xf numFmtId="3" fontId="2" fillId="0" borderId="0" xfId="0" applyNumberFormat="1" applyFont="1" applyFill="1" applyAlignment="1">
      <alignment horizontal="right" vertical="top"/>
    </xf>
    <xf numFmtId="4" fontId="2" fillId="0" borderId="0" xfId="0" applyNumberFormat="1" applyFont="1" applyFill="1" applyAlignment="1">
      <alignment horizontal="right" vertical="top"/>
    </xf>
    <xf numFmtId="0" fontId="0" fillId="0" borderId="0" xfId="57" applyFont="1" applyFill="1">
      <alignment vertical="top"/>
      <protection/>
    </xf>
    <xf numFmtId="3" fontId="0" fillId="0" borderId="0" xfId="57" applyNumberFormat="1" applyFont="1" applyFill="1">
      <alignment vertical="top"/>
      <protection/>
    </xf>
    <xf numFmtId="0" fontId="2" fillId="0" borderId="0" xfId="57" applyFont="1" applyFill="1" applyProtection="1">
      <alignment vertical="top"/>
      <protection/>
    </xf>
    <xf numFmtId="0" fontId="0" fillId="0" borderId="0" xfId="57" applyFont="1" applyFill="1" applyAlignment="1">
      <alignment horizontal="center" vertical="top"/>
      <protection/>
    </xf>
    <xf numFmtId="0" fontId="2" fillId="0" borderId="0" xfId="57" applyFont="1" applyProtection="1">
      <alignment vertical="top"/>
      <protection/>
    </xf>
    <xf numFmtId="0" fontId="0" fillId="0" borderId="0" xfId="57" applyFont="1">
      <alignment vertical="top"/>
      <protection/>
    </xf>
    <xf numFmtId="0" fontId="0" fillId="0" borderId="0" xfId="57" applyFont="1" applyAlignment="1">
      <alignment horizontal="center" vertical="top"/>
      <protection/>
    </xf>
    <xf numFmtId="0" fontId="4" fillId="0" borderId="0" xfId="57" applyFont="1" applyAlignment="1" applyProtection="1">
      <alignment horizontal="left" vertical="top"/>
      <protection/>
    </xf>
    <xf numFmtId="0" fontId="0" fillId="0" borderId="0" xfId="0" applyAlignment="1">
      <alignment horizontal="center" vertical="top" wrapText="1"/>
    </xf>
    <xf numFmtId="166" fontId="0" fillId="0" borderId="0" xfId="57" applyNumberFormat="1" applyFont="1" applyAlignment="1">
      <alignment horizontal="center" vertical="top" wrapText="1"/>
      <protection/>
    </xf>
    <xf numFmtId="166" fontId="0" fillId="0" borderId="0" xfId="0" applyNumberFormat="1" applyAlignment="1">
      <alignment horizontal="center" vertical="top" wrapText="1"/>
    </xf>
    <xf numFmtId="3" fontId="0" fillId="0" borderId="0" xfId="57" applyNumberFormat="1" applyFont="1" applyAlignment="1">
      <alignment horizontal="center" vertical="top" wrapText="1"/>
      <protection/>
    </xf>
    <xf numFmtId="0" fontId="0" fillId="0" borderId="0" xfId="0" applyAlignment="1">
      <alignment horizontal="center" vertical="top"/>
    </xf>
    <xf numFmtId="0" fontId="0" fillId="0" borderId="0" xfId="57" applyFont="1" applyAlignment="1">
      <alignment horizontal="center" vertical="top"/>
      <protection/>
    </xf>
    <xf numFmtId="183" fontId="0" fillId="0" borderId="0" xfId="57" applyNumberFormat="1" applyFont="1" applyAlignment="1">
      <alignment horizontal="center" vertical="top"/>
      <protection/>
    </xf>
    <xf numFmtId="183" fontId="0" fillId="0" borderId="0" xfId="0" applyNumberFormat="1" applyAlignment="1">
      <alignment horizontal="center" vertical="top"/>
    </xf>
    <xf numFmtId="166" fontId="0" fillId="0" borderId="0" xfId="57" applyNumberFormat="1" applyFont="1" applyAlignment="1">
      <alignment horizontal="center" vertical="top"/>
      <protection/>
    </xf>
    <xf numFmtId="179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3" fontId="0" fillId="0" borderId="0" xfId="57" applyNumberFormat="1" applyFont="1" applyAlignment="1">
      <alignment horizontal="center" vertical="top"/>
      <protection/>
    </xf>
    <xf numFmtId="4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0" fillId="0" borderId="0" xfId="0" applyAlignment="1">
      <alignment vertical="top"/>
    </xf>
    <xf numFmtId="0" fontId="0" fillId="0" borderId="0" xfId="57" applyFont="1" applyAlignment="1">
      <alignment horizontal="center" vertical="top" wrapText="1"/>
      <protection/>
    </xf>
    <xf numFmtId="0" fontId="2" fillId="33" borderId="0" xfId="0" applyFont="1" applyFill="1" applyAlignment="1">
      <alignment horizontal="right" vertical="top"/>
    </xf>
    <xf numFmtId="0" fontId="0" fillId="33" borderId="0" xfId="0" applyFill="1" applyAlignment="1">
      <alignment horizontal="right" vertical="top"/>
    </xf>
    <xf numFmtId="4" fontId="2" fillId="33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  <xf numFmtId="183" fontId="0" fillId="0" borderId="0" xfId="57" applyNumberFormat="1" applyFont="1" applyAlignment="1">
      <alignment horizontal="center" vertical="top" wrapText="1"/>
      <protection/>
    </xf>
    <xf numFmtId="183" fontId="0" fillId="0" borderId="0" xfId="0" applyNumberFormat="1" applyAlignment="1">
      <alignment horizontal="center" vertical="top" wrapText="1"/>
    </xf>
    <xf numFmtId="185" fontId="0" fillId="0" borderId="0" xfId="57" applyNumberFormat="1" applyAlignment="1">
      <alignment horizontal="center" vertical="top"/>
      <protection/>
    </xf>
    <xf numFmtId="3" fontId="13" fillId="39" borderId="0" xfId="57" applyNumberFormat="1" applyFont="1" applyFill="1" applyAlignment="1">
      <alignment vertical="top"/>
      <protection/>
    </xf>
    <xf numFmtId="0" fontId="8" fillId="39" borderId="0" xfId="0" applyFont="1" applyFill="1" applyAlignment="1">
      <alignment vertical="top"/>
    </xf>
    <xf numFmtId="0" fontId="12" fillId="33" borderId="14" xfId="57" applyFont="1" applyFill="1" applyBorder="1" applyAlignment="1">
      <alignment vertical="top"/>
      <protection/>
    </xf>
    <xf numFmtId="0" fontId="0" fillId="33" borderId="13" xfId="0" applyFill="1" applyBorder="1" applyAlignment="1">
      <alignment vertical="top"/>
    </xf>
    <xf numFmtId="0" fontId="0" fillId="33" borderId="15" xfId="0" applyFill="1" applyBorder="1" applyAlignment="1">
      <alignment vertical="top"/>
    </xf>
    <xf numFmtId="6" fontId="15" fillId="39" borderId="16" xfId="57" applyNumberFormat="1" applyFont="1" applyFill="1" applyBorder="1" applyAlignment="1">
      <alignment horizontal="center" vertical="top"/>
      <protection/>
    </xf>
    <xf numFmtId="6" fontId="15" fillId="39" borderId="16" xfId="0" applyNumberFormat="1" applyFont="1" applyFill="1" applyBorder="1" applyAlignment="1">
      <alignment horizontal="center" vertical="top"/>
    </xf>
    <xf numFmtId="3" fontId="0" fillId="0" borderId="0" xfId="57" applyNumberFormat="1" applyFont="1">
      <alignment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lank Engineering Calculation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5C852B"/>
      <rgbColor rgb="0099CCFF"/>
      <rgbColor rgb="00FEBB36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CC9900"/>
      <rgbColor rgb="00999999"/>
      <rgbColor rgb="00003366"/>
      <rgbColor rgb="00339966"/>
      <rgbColor rgb="00003300"/>
      <rgbColor rgb="00333300"/>
      <rgbColor rgb="00993300"/>
      <rgbColor rgb="00993366"/>
      <rgbColor rgb="000000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99"/>
                </a:solidFill>
              </a:rPr>
              <a:t>Filter Cost per Average Day</a:t>
            </a:r>
          </a:p>
        </c:rich>
      </c:tx>
      <c:layout>
        <c:manualLayout>
          <c:xMode val="factor"/>
          <c:yMode val="factor"/>
          <c:x val="-0.000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6375"/>
          <c:w val="0.66075"/>
          <c:h val="0.7585"/>
        </c:manualLayout>
      </c:layout>
      <c:scatterChart>
        <c:scatterStyle val="smoothMarker"/>
        <c:varyColors val="0"/>
        <c:ser>
          <c:idx val="0"/>
          <c:order val="0"/>
          <c:tx>
            <c:v>Existing Filter Cost</c:v>
          </c:tx>
          <c:spPr>
            <a:ln w="12700">
              <a:solidFill>
                <a:srgbClr val="0000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Data!$B$24:$B$71</c:f>
              <c:numCach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xVal>
          <c:yVal>
            <c:numRef>
              <c:f>Data!$AE$24:$AE$71</c:f>
              <c:numCache>
                <c:ptCount val="48"/>
                <c:pt idx="0">
                  <c:v>27.542857142857144</c:v>
                </c:pt>
                <c:pt idx="1">
                  <c:v>13.771428571428572</c:v>
                </c:pt>
                <c:pt idx="2">
                  <c:v>9.180952380952382</c:v>
                </c:pt>
                <c:pt idx="3">
                  <c:v>6.885714285714286</c:v>
                </c:pt>
                <c:pt idx="4">
                  <c:v>5.508571428571429</c:v>
                </c:pt>
                <c:pt idx="5">
                  <c:v>4.590476190476191</c:v>
                </c:pt>
                <c:pt idx="6">
                  <c:v>3.9346938775510205</c:v>
                </c:pt>
                <c:pt idx="7">
                  <c:v>3.442857142857143</c:v>
                </c:pt>
                <c:pt idx="8">
                  <c:v>3.0603174603174605</c:v>
                </c:pt>
                <c:pt idx="9">
                  <c:v>2.7542857142857144</c:v>
                </c:pt>
                <c:pt idx="10">
                  <c:v>2.503896103896104</c:v>
                </c:pt>
                <c:pt idx="11">
                  <c:v>2.2952380952380955</c:v>
                </c:pt>
                <c:pt idx="12">
                  <c:v>2.1186813186813187</c:v>
                </c:pt>
                <c:pt idx="13">
                  <c:v>1.9673469387755103</c:v>
                </c:pt>
                <c:pt idx="14">
                  <c:v>1.8361904761904764</c:v>
                </c:pt>
                <c:pt idx="15">
                  <c:v>1.7214285714285715</c:v>
                </c:pt>
                <c:pt idx="16">
                  <c:v>1.6201680672268908</c:v>
                </c:pt>
                <c:pt idx="17">
                  <c:v>1.5301587301587303</c:v>
                </c:pt>
                <c:pt idx="18">
                  <c:v>1.449624060150376</c:v>
                </c:pt>
                <c:pt idx="19">
                  <c:v>1.3771428571428572</c:v>
                </c:pt>
                <c:pt idx="20">
                  <c:v>1.3115646258503402</c:v>
                </c:pt>
                <c:pt idx="21">
                  <c:v>1.251948051948052</c:v>
                </c:pt>
                <c:pt idx="22">
                  <c:v>1.1975155279503107</c:v>
                </c:pt>
                <c:pt idx="23">
                  <c:v>2.2952380952380955</c:v>
                </c:pt>
                <c:pt idx="24">
                  <c:v>2.2034285714285717</c:v>
                </c:pt>
                <c:pt idx="25">
                  <c:v>2.1186813186813187</c:v>
                </c:pt>
                <c:pt idx="26">
                  <c:v>2.0402116402116404</c:v>
                </c:pt>
                <c:pt idx="27">
                  <c:v>1.9673469387755103</c:v>
                </c:pt>
                <c:pt idx="28">
                  <c:v>1.8995073891625618</c:v>
                </c:pt>
                <c:pt idx="29">
                  <c:v>1.8361904761904764</c:v>
                </c:pt>
                <c:pt idx="30">
                  <c:v>1.7769585253456222</c:v>
                </c:pt>
                <c:pt idx="31">
                  <c:v>1.7214285714285715</c:v>
                </c:pt>
                <c:pt idx="32">
                  <c:v>1.6692640692640694</c:v>
                </c:pt>
                <c:pt idx="33">
                  <c:v>1.6201680672268908</c:v>
                </c:pt>
                <c:pt idx="34">
                  <c:v>1.5738775510204082</c:v>
                </c:pt>
                <c:pt idx="35">
                  <c:v>1.5301587301587303</c:v>
                </c:pt>
                <c:pt idx="36">
                  <c:v>1.488803088803089</c:v>
                </c:pt>
                <c:pt idx="37">
                  <c:v>1.449624060150376</c:v>
                </c:pt>
                <c:pt idx="38">
                  <c:v>1.4124542124542125</c:v>
                </c:pt>
                <c:pt idx="39">
                  <c:v>1.3771428571428572</c:v>
                </c:pt>
                <c:pt idx="40">
                  <c:v>1.3435540069686411</c:v>
                </c:pt>
                <c:pt idx="41">
                  <c:v>1.3115646258503402</c:v>
                </c:pt>
                <c:pt idx="42">
                  <c:v>1.281063122923588</c:v>
                </c:pt>
                <c:pt idx="43">
                  <c:v>1.251948051948052</c:v>
                </c:pt>
                <c:pt idx="44">
                  <c:v>1.2241269841269842</c:v>
                </c:pt>
                <c:pt idx="45">
                  <c:v>1.1975155279503107</c:v>
                </c:pt>
                <c:pt idx="46">
                  <c:v>1.1720364741641338</c:v>
                </c:pt>
                <c:pt idx="47">
                  <c:v>1.1476190476190478</c:v>
                </c:pt>
              </c:numCache>
            </c:numRef>
          </c:yVal>
          <c:smooth val="1"/>
        </c:ser>
        <c:ser>
          <c:idx val="1"/>
          <c:order val="1"/>
          <c:tx>
            <c:v>Existing Fan Energy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Data!$B$24:$B$71</c:f>
              <c:numCach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xVal>
          <c:yVal>
            <c:numRef>
              <c:f>Data!$AF$24:$AF$71</c:f>
              <c:numCache>
                <c:ptCount val="48"/>
                <c:pt idx="0">
                  <c:v>5.66794737993453</c:v>
                </c:pt>
                <c:pt idx="1">
                  <c:v>6.234462150585601</c:v>
                </c:pt>
                <c:pt idx="2">
                  <c:v>6.80097692123667</c:v>
                </c:pt>
                <c:pt idx="3">
                  <c:v>7.367491691887742</c:v>
                </c:pt>
                <c:pt idx="4">
                  <c:v>7.934006462538812</c:v>
                </c:pt>
                <c:pt idx="5">
                  <c:v>8.500521233189883</c:v>
                </c:pt>
                <c:pt idx="6">
                  <c:v>9.067036003840952</c:v>
                </c:pt>
                <c:pt idx="7">
                  <c:v>9.633550774492022</c:v>
                </c:pt>
                <c:pt idx="8">
                  <c:v>10.20006554514309</c:v>
                </c:pt>
                <c:pt idx="9">
                  <c:v>10.766580315794162</c:v>
                </c:pt>
                <c:pt idx="10">
                  <c:v>11.33309508644523</c:v>
                </c:pt>
                <c:pt idx="11">
                  <c:v>11.8996098570963</c:v>
                </c:pt>
                <c:pt idx="12">
                  <c:v>12.466124627747371</c:v>
                </c:pt>
                <c:pt idx="13">
                  <c:v>13.032639398398441</c:v>
                </c:pt>
                <c:pt idx="14">
                  <c:v>13.599154169049509</c:v>
                </c:pt>
                <c:pt idx="15">
                  <c:v>14.16566893970058</c:v>
                </c:pt>
                <c:pt idx="16">
                  <c:v>14.73218371035165</c:v>
                </c:pt>
                <c:pt idx="17">
                  <c:v>15.298698481002722</c:v>
                </c:pt>
                <c:pt idx="18">
                  <c:v>15.865213251653788</c:v>
                </c:pt>
                <c:pt idx="19">
                  <c:v>16.43172802230486</c:v>
                </c:pt>
                <c:pt idx="20">
                  <c:v>16.998242792955928</c:v>
                </c:pt>
                <c:pt idx="21">
                  <c:v>17.564757563607003</c:v>
                </c:pt>
                <c:pt idx="22">
                  <c:v>18.13127233425807</c:v>
                </c:pt>
                <c:pt idx="23">
                  <c:v>5.66794737993453</c:v>
                </c:pt>
                <c:pt idx="24">
                  <c:v>6.234462150585601</c:v>
                </c:pt>
                <c:pt idx="25">
                  <c:v>6.80097692123667</c:v>
                </c:pt>
                <c:pt idx="26">
                  <c:v>7.367491691887742</c:v>
                </c:pt>
                <c:pt idx="27">
                  <c:v>7.934006462538812</c:v>
                </c:pt>
                <c:pt idx="28">
                  <c:v>8.500521233189883</c:v>
                </c:pt>
                <c:pt idx="29">
                  <c:v>9.067036003840952</c:v>
                </c:pt>
                <c:pt idx="30">
                  <c:v>9.633550774492022</c:v>
                </c:pt>
                <c:pt idx="31">
                  <c:v>10.20006554514309</c:v>
                </c:pt>
                <c:pt idx="32">
                  <c:v>10.766580315794162</c:v>
                </c:pt>
                <c:pt idx="33">
                  <c:v>11.33309508644523</c:v>
                </c:pt>
                <c:pt idx="34">
                  <c:v>11.8996098570963</c:v>
                </c:pt>
                <c:pt idx="35">
                  <c:v>12.466124627747371</c:v>
                </c:pt>
                <c:pt idx="36">
                  <c:v>13.032639398398441</c:v>
                </c:pt>
                <c:pt idx="37">
                  <c:v>13.599154169049509</c:v>
                </c:pt>
                <c:pt idx="38">
                  <c:v>14.16566893970058</c:v>
                </c:pt>
                <c:pt idx="39">
                  <c:v>14.73218371035165</c:v>
                </c:pt>
                <c:pt idx="40">
                  <c:v>15.298698481002722</c:v>
                </c:pt>
                <c:pt idx="41">
                  <c:v>15.865213251653788</c:v>
                </c:pt>
                <c:pt idx="42">
                  <c:v>16.43172802230486</c:v>
                </c:pt>
                <c:pt idx="43">
                  <c:v>16.998242792955928</c:v>
                </c:pt>
                <c:pt idx="44">
                  <c:v>17.564757563607003</c:v>
                </c:pt>
                <c:pt idx="45">
                  <c:v>18.13127233425807</c:v>
                </c:pt>
                <c:pt idx="46">
                  <c:v>18.69778710490914</c:v>
                </c:pt>
                <c:pt idx="47">
                  <c:v>19.264301875560214</c:v>
                </c:pt>
              </c:numCache>
            </c:numRef>
          </c:yVal>
          <c:smooth val="1"/>
        </c:ser>
        <c:ser>
          <c:idx val="2"/>
          <c:order val="2"/>
          <c:tx>
            <c:v>Existing Total Cost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Data!$B$24:$B$71</c:f>
              <c:numCach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xVal>
          <c:yVal>
            <c:numRef>
              <c:f>Data!$AG$24:$AG$71</c:f>
              <c:numCache>
                <c:ptCount val="48"/>
                <c:pt idx="0">
                  <c:v>33.210804522791676</c:v>
                </c:pt>
                <c:pt idx="1">
                  <c:v>20.005890722014172</c:v>
                </c:pt>
                <c:pt idx="2">
                  <c:v>15.981929302189052</c:v>
                </c:pt>
                <c:pt idx="3">
                  <c:v>14.253205977602029</c:v>
                </c:pt>
                <c:pt idx="4">
                  <c:v>13.44257789111024</c:v>
                </c:pt>
                <c:pt idx="5">
                  <c:v>13.090997423666074</c:v>
                </c:pt>
                <c:pt idx="6">
                  <c:v>13.001729881391974</c:v>
                </c:pt>
                <c:pt idx="7">
                  <c:v>13.076407917349165</c:v>
                </c:pt>
                <c:pt idx="8">
                  <c:v>13.26038300546055</c:v>
                </c:pt>
                <c:pt idx="9">
                  <c:v>13.520866030079876</c:v>
                </c:pt>
                <c:pt idx="10">
                  <c:v>13.836991190341333</c:v>
                </c:pt>
                <c:pt idx="11">
                  <c:v>14.194847952334396</c:v>
                </c:pt>
                <c:pt idx="12">
                  <c:v>14.58480594642869</c:v>
                </c:pt>
                <c:pt idx="13">
                  <c:v>14.99998633717395</c:v>
                </c:pt>
                <c:pt idx="14">
                  <c:v>15.435344645239985</c:v>
                </c:pt>
                <c:pt idx="15">
                  <c:v>15.887097511129152</c:v>
                </c:pt>
                <c:pt idx="16">
                  <c:v>16.35235177757854</c:v>
                </c:pt>
                <c:pt idx="17">
                  <c:v>16.828857211161452</c:v>
                </c:pt>
                <c:pt idx="18">
                  <c:v>17.314837311804165</c:v>
                </c:pt>
                <c:pt idx="19">
                  <c:v>17.808870879447717</c:v>
                </c:pt>
                <c:pt idx="20">
                  <c:v>18.30980741880627</c:v>
                </c:pt>
                <c:pt idx="21">
                  <c:v>18.816705615555055</c:v>
                </c:pt>
                <c:pt idx="22">
                  <c:v>19.328787862208383</c:v>
                </c:pt>
                <c:pt idx="23">
                  <c:v>7.963185475172626</c:v>
                </c:pt>
                <c:pt idx="24">
                  <c:v>8.437890722014172</c:v>
                </c:pt>
                <c:pt idx="25">
                  <c:v>8.91965823991799</c:v>
                </c:pt>
                <c:pt idx="26">
                  <c:v>9.407703332099382</c:v>
                </c:pt>
                <c:pt idx="27">
                  <c:v>9.901353401314323</c:v>
                </c:pt>
                <c:pt idx="28">
                  <c:v>10.400028622352444</c:v>
                </c:pt>
                <c:pt idx="29">
                  <c:v>10.903226480031428</c:v>
                </c:pt>
                <c:pt idx="30">
                  <c:v>11.410509299837644</c:v>
                </c:pt>
                <c:pt idx="31">
                  <c:v>11.921494116571662</c:v>
                </c:pt>
                <c:pt idx="32">
                  <c:v>12.435844385058232</c:v>
                </c:pt>
                <c:pt idx="33">
                  <c:v>12.95326315367212</c:v>
                </c:pt>
                <c:pt idx="34">
                  <c:v>13.473487408116707</c:v>
                </c:pt>
                <c:pt idx="35">
                  <c:v>13.996283357906101</c:v>
                </c:pt>
                <c:pt idx="36">
                  <c:v>14.52144248720153</c:v>
                </c:pt>
                <c:pt idx="37">
                  <c:v>15.048778229199884</c:v>
                </c:pt>
                <c:pt idx="38">
                  <c:v>15.578123152154793</c:v>
                </c:pt>
                <c:pt idx="39">
                  <c:v>16.109326567494506</c:v>
                </c:pt>
                <c:pt idx="40">
                  <c:v>16.642252487971362</c:v>
                </c:pt>
                <c:pt idx="41">
                  <c:v>17.17677787750413</c:v>
                </c:pt>
                <c:pt idx="42">
                  <c:v>17.712791145228447</c:v>
                </c:pt>
                <c:pt idx="43">
                  <c:v>18.25019084490398</c:v>
                </c:pt>
                <c:pt idx="44">
                  <c:v>18.788884547733986</c:v>
                </c:pt>
                <c:pt idx="45">
                  <c:v>19.328787862208383</c:v>
                </c:pt>
                <c:pt idx="46">
                  <c:v>19.869823579073273</c:v>
                </c:pt>
                <c:pt idx="47">
                  <c:v>20.411920923179263</c:v>
                </c:pt>
              </c:numCache>
            </c:numRef>
          </c:yVal>
          <c:smooth val="1"/>
        </c:ser>
        <c:ser>
          <c:idx val="3"/>
          <c:order val="3"/>
          <c:tx>
            <c:v>Proposed Filter Cost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Data!$B$24:$B$71</c:f>
              <c:numCach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xVal>
          <c:yVal>
            <c:numRef>
              <c:f>'[4]Data'!$AE$24:$AE$71</c:f>
              <c:numCache>
                <c:ptCount val="48"/>
                <c:pt idx="0">
                  <c:v>0</c:v>
                </c:pt>
                <c:pt idx="1">
                  <c:v>0</c:v>
                </c:pt>
                <c:pt idx="4">
                  <c:v>70</c:v>
                </c:pt>
                <c:pt idx="5">
                  <c:v>35</c:v>
                </c:pt>
                <c:pt idx="6">
                  <c:v>23.333333333333332</c:v>
                </c:pt>
                <c:pt idx="7">
                  <c:v>17.5</c:v>
                </c:pt>
                <c:pt idx="8">
                  <c:v>14</c:v>
                </c:pt>
                <c:pt idx="9">
                  <c:v>11.666666666666666</c:v>
                </c:pt>
                <c:pt idx="10">
                  <c:v>10</c:v>
                </c:pt>
                <c:pt idx="11">
                  <c:v>8.75</c:v>
                </c:pt>
                <c:pt idx="12">
                  <c:v>7.777777777777778</c:v>
                </c:pt>
                <c:pt idx="13">
                  <c:v>7</c:v>
                </c:pt>
                <c:pt idx="14">
                  <c:v>6.363636363636363</c:v>
                </c:pt>
                <c:pt idx="15">
                  <c:v>5.833333333333333</c:v>
                </c:pt>
                <c:pt idx="16">
                  <c:v>5.384615384615385</c:v>
                </c:pt>
                <c:pt idx="17">
                  <c:v>5</c:v>
                </c:pt>
                <c:pt idx="18">
                  <c:v>4.666666666666667</c:v>
                </c:pt>
                <c:pt idx="19">
                  <c:v>4.375</c:v>
                </c:pt>
                <c:pt idx="20">
                  <c:v>4.117647058823529</c:v>
                </c:pt>
                <c:pt idx="21">
                  <c:v>3.888888888888889</c:v>
                </c:pt>
                <c:pt idx="22">
                  <c:v>3.6842105263157894</c:v>
                </c:pt>
                <c:pt idx="23">
                  <c:v>3.5</c:v>
                </c:pt>
                <c:pt idx="24">
                  <c:v>3.3333333333333335</c:v>
                </c:pt>
                <c:pt idx="25">
                  <c:v>3.1818181818181817</c:v>
                </c:pt>
                <c:pt idx="26">
                  <c:v>3.0434782608695654</c:v>
                </c:pt>
                <c:pt idx="27">
                  <c:v>2.9166666666666665</c:v>
                </c:pt>
                <c:pt idx="28">
                  <c:v>2.8</c:v>
                </c:pt>
                <c:pt idx="29">
                  <c:v>2.6923076923076925</c:v>
                </c:pt>
                <c:pt idx="30">
                  <c:v>2.5925925925925926</c:v>
                </c:pt>
                <c:pt idx="31">
                  <c:v>2.5</c:v>
                </c:pt>
                <c:pt idx="32">
                  <c:v>2.413793103448276</c:v>
                </c:pt>
                <c:pt idx="33">
                  <c:v>2.3333333333333335</c:v>
                </c:pt>
                <c:pt idx="34">
                  <c:v>2.2580645161290325</c:v>
                </c:pt>
                <c:pt idx="35">
                  <c:v>2.1875</c:v>
                </c:pt>
                <c:pt idx="36">
                  <c:v>2.121212121212121</c:v>
                </c:pt>
                <c:pt idx="37">
                  <c:v>2.0588235294117645</c:v>
                </c:pt>
                <c:pt idx="38">
                  <c:v>2</c:v>
                </c:pt>
                <c:pt idx="39">
                  <c:v>1.9444444444444444</c:v>
                </c:pt>
                <c:pt idx="40">
                  <c:v>1.8918918918918919</c:v>
                </c:pt>
                <c:pt idx="41">
                  <c:v>1.8421052631578947</c:v>
                </c:pt>
                <c:pt idx="42">
                  <c:v>1.794871794871795</c:v>
                </c:pt>
                <c:pt idx="43">
                  <c:v>1.75</c:v>
                </c:pt>
                <c:pt idx="44">
                  <c:v>1.7073170731707317</c:v>
                </c:pt>
                <c:pt idx="45">
                  <c:v>1.6666666666666667</c:v>
                </c:pt>
                <c:pt idx="46">
                  <c:v>1.627906976744186</c:v>
                </c:pt>
                <c:pt idx="47">
                  <c:v>1.5909090909090908</c:v>
                </c:pt>
              </c:numCache>
            </c:numRef>
          </c:yVal>
          <c:smooth val="1"/>
        </c:ser>
        <c:ser>
          <c:idx val="4"/>
          <c:order val="4"/>
          <c:tx>
            <c:v>Proposed Fan Energy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Data!$B$24:$B$71</c:f>
              <c:numCach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xVal>
          <c:yVal>
            <c:numRef>
              <c:f>'[4]Data'!$AF$24:$AF$71</c:f>
              <c:numCache>
                <c:ptCount val="48"/>
                <c:pt idx="1">
                  <c:v>0</c:v>
                </c:pt>
                <c:pt idx="4">
                  <c:v>1.6008680838289238</c:v>
                </c:pt>
                <c:pt idx="5">
                  <c:v>1.6851521493447217</c:v>
                </c:pt>
                <c:pt idx="6">
                  <c:v>1.7694362148605187</c:v>
                </c:pt>
                <c:pt idx="7">
                  <c:v>1.8537202803763162</c:v>
                </c:pt>
                <c:pt idx="8">
                  <c:v>1.938004345892114</c:v>
                </c:pt>
                <c:pt idx="9">
                  <c:v>2.022288411407911</c:v>
                </c:pt>
                <c:pt idx="10">
                  <c:v>2.1065724769237084</c:v>
                </c:pt>
                <c:pt idx="11">
                  <c:v>2.1908565424395054</c:v>
                </c:pt>
                <c:pt idx="12">
                  <c:v>2.2751406079553034</c:v>
                </c:pt>
                <c:pt idx="13">
                  <c:v>2.3594246734711004</c:v>
                </c:pt>
                <c:pt idx="14">
                  <c:v>2.4437087389868983</c:v>
                </c:pt>
                <c:pt idx="15">
                  <c:v>2.5279928045026954</c:v>
                </c:pt>
                <c:pt idx="16">
                  <c:v>2.6122768700184937</c:v>
                </c:pt>
                <c:pt idx="17">
                  <c:v>2.6965609355342894</c:v>
                </c:pt>
                <c:pt idx="18">
                  <c:v>2.7808450010500882</c:v>
                </c:pt>
                <c:pt idx="19">
                  <c:v>2.865129066565885</c:v>
                </c:pt>
                <c:pt idx="20">
                  <c:v>2.9494131320816828</c:v>
                </c:pt>
                <c:pt idx="21">
                  <c:v>3.0336971975974794</c:v>
                </c:pt>
                <c:pt idx="22">
                  <c:v>3.117981263113277</c:v>
                </c:pt>
                <c:pt idx="23">
                  <c:v>3.202265328629074</c:v>
                </c:pt>
                <c:pt idx="24">
                  <c:v>3.2865493941448713</c:v>
                </c:pt>
                <c:pt idx="25">
                  <c:v>3.370833459660669</c:v>
                </c:pt>
                <c:pt idx="26">
                  <c:v>3.455117525176466</c:v>
                </c:pt>
                <c:pt idx="27">
                  <c:v>3.5394015906922642</c:v>
                </c:pt>
                <c:pt idx="28">
                  <c:v>3.6236856562080613</c:v>
                </c:pt>
                <c:pt idx="29">
                  <c:v>3.7079697217238596</c:v>
                </c:pt>
                <c:pt idx="30">
                  <c:v>3.7922537872396567</c:v>
                </c:pt>
                <c:pt idx="31">
                  <c:v>3.8765378527554537</c:v>
                </c:pt>
                <c:pt idx="32">
                  <c:v>3.9608219182712525</c:v>
                </c:pt>
                <c:pt idx="33">
                  <c:v>4.04510598378705</c:v>
                </c:pt>
                <c:pt idx="34">
                  <c:v>4.129390049302848</c:v>
                </c:pt>
                <c:pt idx="35">
                  <c:v>4.213674114818645</c:v>
                </c:pt>
                <c:pt idx="36">
                  <c:v>4.297958180334443</c:v>
                </c:pt>
                <c:pt idx="37">
                  <c:v>4.382242245850241</c:v>
                </c:pt>
                <c:pt idx="38">
                  <c:v>4.466526311366039</c:v>
                </c:pt>
                <c:pt idx="39">
                  <c:v>4.550810376881836</c:v>
                </c:pt>
                <c:pt idx="40">
                  <c:v>4.635094442397635</c:v>
                </c:pt>
                <c:pt idx="41">
                  <c:v>4.719378507913432</c:v>
                </c:pt>
                <c:pt idx="42">
                  <c:v>4.8036625734292295</c:v>
                </c:pt>
                <c:pt idx="43">
                  <c:v>4.887946638945027</c:v>
                </c:pt>
                <c:pt idx="44">
                  <c:v>4.972230704460825</c:v>
                </c:pt>
                <c:pt idx="45">
                  <c:v>5.056514769976623</c:v>
                </c:pt>
                <c:pt idx="46">
                  <c:v>5.14079883549242</c:v>
                </c:pt>
                <c:pt idx="47">
                  <c:v>5.22508290100822</c:v>
                </c:pt>
              </c:numCache>
            </c:numRef>
          </c:yVal>
          <c:smooth val="1"/>
        </c:ser>
        <c:ser>
          <c:idx val="5"/>
          <c:order val="5"/>
          <c:tx>
            <c:v>Proposed Total Cost</c:v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Data!$B$24:$B$71</c:f>
              <c:numCach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xVal>
          <c:yVal>
            <c:numRef>
              <c:f>'[4]Data'!$AG$24:$AG$71</c:f>
              <c:numCache>
                <c:ptCount val="48"/>
                <c:pt idx="1">
                  <c:v>0</c:v>
                </c:pt>
                <c:pt idx="4">
                  <c:v>71.60086808382893</c:v>
                </c:pt>
                <c:pt idx="5">
                  <c:v>36.685152149344724</c:v>
                </c:pt>
                <c:pt idx="6">
                  <c:v>25.10276954819385</c:v>
                </c:pt>
                <c:pt idx="7">
                  <c:v>19.353720280376315</c:v>
                </c:pt>
                <c:pt idx="8">
                  <c:v>15.938004345892114</c:v>
                </c:pt>
                <c:pt idx="9">
                  <c:v>13.688955078074578</c:v>
                </c:pt>
                <c:pt idx="10">
                  <c:v>12.10657247692371</c:v>
                </c:pt>
                <c:pt idx="11">
                  <c:v>10.940856542439505</c:v>
                </c:pt>
                <c:pt idx="12">
                  <c:v>10.052918385733081</c:v>
                </c:pt>
                <c:pt idx="13">
                  <c:v>9.3594246734711</c:v>
                </c:pt>
                <c:pt idx="14">
                  <c:v>8.807345102623263</c:v>
                </c:pt>
                <c:pt idx="15">
                  <c:v>8.361326137836029</c:v>
                </c:pt>
                <c:pt idx="16">
                  <c:v>7.996892254633879</c:v>
                </c:pt>
                <c:pt idx="17">
                  <c:v>7.69656093553429</c:v>
                </c:pt>
                <c:pt idx="18">
                  <c:v>7.447511667716755</c:v>
                </c:pt>
                <c:pt idx="19">
                  <c:v>7.240129066565885</c:v>
                </c:pt>
                <c:pt idx="20">
                  <c:v>7.067060190905211</c:v>
                </c:pt>
                <c:pt idx="21">
                  <c:v>6.922586086486368</c:v>
                </c:pt>
                <c:pt idx="22">
                  <c:v>6.802191789429067</c:v>
                </c:pt>
                <c:pt idx="23">
                  <c:v>6.702265328629074</c:v>
                </c:pt>
                <c:pt idx="24">
                  <c:v>6.619882727478204</c:v>
                </c:pt>
                <c:pt idx="25">
                  <c:v>6.5526516414788505</c:v>
                </c:pt>
                <c:pt idx="26">
                  <c:v>6.498595786046032</c:v>
                </c:pt>
                <c:pt idx="27">
                  <c:v>6.456068257358931</c:v>
                </c:pt>
                <c:pt idx="28">
                  <c:v>6.423685656208061</c:v>
                </c:pt>
                <c:pt idx="29">
                  <c:v>6.400277414031552</c:v>
                </c:pt>
                <c:pt idx="30">
                  <c:v>6.384846379832249</c:v>
                </c:pt>
                <c:pt idx="31">
                  <c:v>6.376537852755454</c:v>
                </c:pt>
                <c:pt idx="32">
                  <c:v>6.374615021719528</c:v>
                </c:pt>
                <c:pt idx="33">
                  <c:v>6.3784393171203835</c:v>
                </c:pt>
                <c:pt idx="34">
                  <c:v>6.387454565431881</c:v>
                </c:pt>
                <c:pt idx="35">
                  <c:v>6.401174114818645</c:v>
                </c:pt>
                <c:pt idx="36">
                  <c:v>6.419170301546564</c:v>
                </c:pt>
                <c:pt idx="37">
                  <c:v>6.441065775262006</c:v>
                </c:pt>
                <c:pt idx="38">
                  <c:v>6.466526311366039</c:v>
                </c:pt>
                <c:pt idx="39">
                  <c:v>6.495254821326281</c:v>
                </c:pt>
                <c:pt idx="40">
                  <c:v>6.526986334289527</c:v>
                </c:pt>
                <c:pt idx="41">
                  <c:v>6.561483771071327</c:v>
                </c:pt>
                <c:pt idx="42">
                  <c:v>6.598534368301024</c:v>
                </c:pt>
                <c:pt idx="43">
                  <c:v>6.637946638945027</c:v>
                </c:pt>
                <c:pt idx="44">
                  <c:v>6.679547777631557</c:v>
                </c:pt>
                <c:pt idx="45">
                  <c:v>6.72318143664329</c:v>
                </c:pt>
                <c:pt idx="46">
                  <c:v>6.768705812236607</c:v>
                </c:pt>
                <c:pt idx="47">
                  <c:v>6.81599199191731</c:v>
                </c:pt>
              </c:numCache>
            </c:numRef>
          </c:yVal>
          <c:smooth val="1"/>
        </c:ser>
        <c:axId val="57589272"/>
        <c:axId val="48541401"/>
      </c:scatterChart>
      <c:valAx>
        <c:axId val="57589272"/>
        <c:scaling>
          <c:orientation val="minMax"/>
          <c:max val="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Interval (1 interval = 4 weeks)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8541401"/>
        <c:crosses val="autoZero"/>
        <c:crossBetween val="midCat"/>
        <c:dispUnits/>
        <c:majorUnit val="12"/>
        <c:minorUnit val="1"/>
      </c:valAx>
      <c:valAx>
        <c:axId val="4854140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7589272"/>
        <c:crosses val="autoZero"/>
        <c:crossBetween val="midCat"/>
        <c:dispUnits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"/>
          <c:y val="0.38725"/>
          <c:w val="0.26975"/>
          <c:h val="0.2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99"/>
                </a:solidFill>
              </a:rPr>
              <a:t>Filter Cost per Average Day</a:t>
            </a:r>
          </a:p>
        </c:rich>
      </c:tx>
      <c:layout>
        <c:manualLayout>
          <c:xMode val="factor"/>
          <c:yMode val="factor"/>
          <c:x val="-0.000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6375"/>
          <c:w val="0.67225"/>
          <c:h val="0.75875"/>
        </c:manualLayout>
      </c:layout>
      <c:scatterChart>
        <c:scatterStyle val="smoothMarker"/>
        <c:varyColors val="0"/>
        <c:ser>
          <c:idx val="2"/>
          <c:order val="0"/>
          <c:tx>
            <c:v>Existing Total Cost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Data!$B$24:$B$71</c:f>
              <c:numCach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xVal>
          <c:yVal>
            <c:numRef>
              <c:f>Data!$AG$24:$AG$71</c:f>
              <c:numCache>
                <c:ptCount val="48"/>
                <c:pt idx="0">
                  <c:v>33.210804522791676</c:v>
                </c:pt>
                <c:pt idx="1">
                  <c:v>20.005890722014172</c:v>
                </c:pt>
                <c:pt idx="2">
                  <c:v>15.981929302189052</c:v>
                </c:pt>
                <c:pt idx="3">
                  <c:v>14.253205977602029</c:v>
                </c:pt>
                <c:pt idx="4">
                  <c:v>13.44257789111024</c:v>
                </c:pt>
                <c:pt idx="5">
                  <c:v>13.090997423666074</c:v>
                </c:pt>
                <c:pt idx="6">
                  <c:v>13.001729881391974</c:v>
                </c:pt>
                <c:pt idx="7">
                  <c:v>13.076407917349165</c:v>
                </c:pt>
                <c:pt idx="8">
                  <c:v>13.26038300546055</c:v>
                </c:pt>
                <c:pt idx="9">
                  <c:v>13.520866030079876</c:v>
                </c:pt>
                <c:pt idx="10">
                  <c:v>13.836991190341333</c:v>
                </c:pt>
                <c:pt idx="11">
                  <c:v>14.194847952334396</c:v>
                </c:pt>
                <c:pt idx="12">
                  <c:v>14.58480594642869</c:v>
                </c:pt>
                <c:pt idx="13">
                  <c:v>14.99998633717395</c:v>
                </c:pt>
                <c:pt idx="14">
                  <c:v>15.435344645239985</c:v>
                </c:pt>
                <c:pt idx="15">
                  <c:v>15.887097511129152</c:v>
                </c:pt>
                <c:pt idx="16">
                  <c:v>16.35235177757854</c:v>
                </c:pt>
                <c:pt idx="17">
                  <c:v>16.828857211161452</c:v>
                </c:pt>
                <c:pt idx="18">
                  <c:v>17.314837311804165</c:v>
                </c:pt>
                <c:pt idx="19">
                  <c:v>17.808870879447717</c:v>
                </c:pt>
                <c:pt idx="20">
                  <c:v>18.30980741880627</c:v>
                </c:pt>
                <c:pt idx="21">
                  <c:v>18.816705615555055</c:v>
                </c:pt>
                <c:pt idx="22">
                  <c:v>19.328787862208383</c:v>
                </c:pt>
                <c:pt idx="23">
                  <c:v>7.963185475172626</c:v>
                </c:pt>
                <c:pt idx="24">
                  <c:v>8.437890722014172</c:v>
                </c:pt>
                <c:pt idx="25">
                  <c:v>8.91965823991799</c:v>
                </c:pt>
                <c:pt idx="26">
                  <c:v>9.407703332099382</c:v>
                </c:pt>
                <c:pt idx="27">
                  <c:v>9.901353401314323</c:v>
                </c:pt>
                <c:pt idx="28">
                  <c:v>10.400028622352444</c:v>
                </c:pt>
                <c:pt idx="29">
                  <c:v>10.903226480031428</c:v>
                </c:pt>
                <c:pt idx="30">
                  <c:v>11.410509299837644</c:v>
                </c:pt>
                <c:pt idx="31">
                  <c:v>11.921494116571662</c:v>
                </c:pt>
                <c:pt idx="32">
                  <c:v>12.435844385058232</c:v>
                </c:pt>
                <c:pt idx="33">
                  <c:v>12.95326315367212</c:v>
                </c:pt>
                <c:pt idx="34">
                  <c:v>13.473487408116707</c:v>
                </c:pt>
                <c:pt idx="35">
                  <c:v>13.996283357906101</c:v>
                </c:pt>
                <c:pt idx="36">
                  <c:v>14.52144248720153</c:v>
                </c:pt>
                <c:pt idx="37">
                  <c:v>15.048778229199884</c:v>
                </c:pt>
                <c:pt idx="38">
                  <c:v>15.578123152154793</c:v>
                </c:pt>
                <c:pt idx="39">
                  <c:v>16.109326567494506</c:v>
                </c:pt>
                <c:pt idx="40">
                  <c:v>16.642252487971362</c:v>
                </c:pt>
                <c:pt idx="41">
                  <c:v>17.17677787750413</c:v>
                </c:pt>
                <c:pt idx="42">
                  <c:v>17.712791145228447</c:v>
                </c:pt>
                <c:pt idx="43">
                  <c:v>18.25019084490398</c:v>
                </c:pt>
                <c:pt idx="44">
                  <c:v>18.788884547733986</c:v>
                </c:pt>
                <c:pt idx="45">
                  <c:v>19.328787862208383</c:v>
                </c:pt>
                <c:pt idx="46">
                  <c:v>19.869823579073273</c:v>
                </c:pt>
                <c:pt idx="47">
                  <c:v>20.411920923179263</c:v>
                </c:pt>
              </c:numCache>
            </c:numRef>
          </c:yVal>
          <c:smooth val="1"/>
        </c:ser>
        <c:ser>
          <c:idx val="5"/>
          <c:order val="1"/>
          <c:tx>
            <c:v>Proposed Total Cost</c:v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Data!$B$24:$B$71</c:f>
              <c:numCach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xVal>
          <c:yVal>
            <c:numRef>
              <c:f>'[4]Data'!$AG$24:$AG$71</c:f>
              <c:numCache>
                <c:ptCount val="48"/>
                <c:pt idx="1">
                  <c:v>0</c:v>
                </c:pt>
                <c:pt idx="4">
                  <c:v>71.60086808382893</c:v>
                </c:pt>
                <c:pt idx="5">
                  <c:v>36.685152149344724</c:v>
                </c:pt>
                <c:pt idx="6">
                  <c:v>25.10276954819385</c:v>
                </c:pt>
                <c:pt idx="7">
                  <c:v>19.353720280376315</c:v>
                </c:pt>
                <c:pt idx="8">
                  <c:v>15.938004345892114</c:v>
                </c:pt>
                <c:pt idx="9">
                  <c:v>13.688955078074578</c:v>
                </c:pt>
                <c:pt idx="10">
                  <c:v>12.10657247692371</c:v>
                </c:pt>
                <c:pt idx="11">
                  <c:v>10.940856542439505</c:v>
                </c:pt>
                <c:pt idx="12">
                  <c:v>10.052918385733081</c:v>
                </c:pt>
                <c:pt idx="13">
                  <c:v>9.3594246734711</c:v>
                </c:pt>
                <c:pt idx="14">
                  <c:v>8.807345102623263</c:v>
                </c:pt>
                <c:pt idx="15">
                  <c:v>8.361326137836029</c:v>
                </c:pt>
                <c:pt idx="16">
                  <c:v>7.996892254633879</c:v>
                </c:pt>
                <c:pt idx="17">
                  <c:v>7.69656093553429</c:v>
                </c:pt>
                <c:pt idx="18">
                  <c:v>7.447511667716755</c:v>
                </c:pt>
                <c:pt idx="19">
                  <c:v>7.240129066565885</c:v>
                </c:pt>
                <c:pt idx="20">
                  <c:v>7.067060190905211</c:v>
                </c:pt>
                <c:pt idx="21">
                  <c:v>6.922586086486368</c:v>
                </c:pt>
                <c:pt idx="22">
                  <c:v>6.802191789429067</c:v>
                </c:pt>
                <c:pt idx="23">
                  <c:v>6.702265328629074</c:v>
                </c:pt>
                <c:pt idx="24">
                  <c:v>6.619882727478204</c:v>
                </c:pt>
                <c:pt idx="25">
                  <c:v>6.5526516414788505</c:v>
                </c:pt>
                <c:pt idx="26">
                  <c:v>6.498595786046032</c:v>
                </c:pt>
                <c:pt idx="27">
                  <c:v>6.456068257358931</c:v>
                </c:pt>
                <c:pt idx="28">
                  <c:v>6.423685656208061</c:v>
                </c:pt>
                <c:pt idx="29">
                  <c:v>6.400277414031552</c:v>
                </c:pt>
                <c:pt idx="30">
                  <c:v>6.384846379832249</c:v>
                </c:pt>
                <c:pt idx="31">
                  <c:v>6.376537852755454</c:v>
                </c:pt>
                <c:pt idx="32">
                  <c:v>6.374615021719528</c:v>
                </c:pt>
                <c:pt idx="33">
                  <c:v>6.3784393171203835</c:v>
                </c:pt>
                <c:pt idx="34">
                  <c:v>6.387454565431881</c:v>
                </c:pt>
                <c:pt idx="35">
                  <c:v>6.401174114818645</c:v>
                </c:pt>
                <c:pt idx="36">
                  <c:v>6.419170301546564</c:v>
                </c:pt>
                <c:pt idx="37">
                  <c:v>6.441065775262006</c:v>
                </c:pt>
                <c:pt idx="38">
                  <c:v>6.466526311366039</c:v>
                </c:pt>
                <c:pt idx="39">
                  <c:v>6.495254821326281</c:v>
                </c:pt>
                <c:pt idx="40">
                  <c:v>6.526986334289527</c:v>
                </c:pt>
                <c:pt idx="41">
                  <c:v>6.561483771071327</c:v>
                </c:pt>
                <c:pt idx="42">
                  <c:v>6.598534368301024</c:v>
                </c:pt>
                <c:pt idx="43">
                  <c:v>6.637946638945027</c:v>
                </c:pt>
                <c:pt idx="44">
                  <c:v>6.679547777631557</c:v>
                </c:pt>
                <c:pt idx="45">
                  <c:v>6.72318143664329</c:v>
                </c:pt>
                <c:pt idx="46">
                  <c:v>6.768705812236607</c:v>
                </c:pt>
                <c:pt idx="47">
                  <c:v>6.81599199191731</c:v>
                </c:pt>
              </c:numCache>
            </c:numRef>
          </c:yVal>
          <c:smooth val="1"/>
        </c:ser>
        <c:axId val="34219426"/>
        <c:axId val="39539379"/>
      </c:scatterChart>
      <c:valAx>
        <c:axId val="34219426"/>
        <c:scaling>
          <c:orientation val="minMax"/>
          <c:max val="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Interval (1 interval = 4 weeks)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539379"/>
        <c:crosses val="autoZero"/>
        <c:crossBetween val="midCat"/>
        <c:dispUnits/>
        <c:majorUnit val="12"/>
        <c:minorUnit val="1"/>
      </c:valAx>
      <c:valAx>
        <c:axId val="3953937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219426"/>
        <c:crosses val="autoZero"/>
        <c:crossBetween val="midCat"/>
        <c:dispUnits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5"/>
          <c:y val="0.4755"/>
          <c:w val="0.258"/>
          <c:h val="0.0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99"/>
                </a:solidFill>
              </a:rPr>
              <a:t>Filter Cost per Average Day and Accumulated Savings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UCB LeConte Hall Current Practice (65% ASHRAE Efficiency Bag filters with Prefilters) vs. 65% Efficiency Extened Surface Area Filters with No Pefilters</a:t>
            </a:r>
          </a:p>
        </c:rich>
      </c:tx>
      <c:layout>
        <c:manualLayout>
          <c:xMode val="factor"/>
          <c:yMode val="factor"/>
          <c:x val="-0.006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272"/>
          <c:w val="0.71125"/>
          <c:h val="0.606"/>
        </c:manualLayout>
      </c:layout>
      <c:scatterChart>
        <c:scatterStyle val="smoothMarker"/>
        <c:varyColors val="0"/>
        <c:ser>
          <c:idx val="2"/>
          <c:order val="0"/>
          <c:tx>
            <c:v>Existing Total Cost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Data!$B$24:$B$71</c:f>
              <c:numCach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xVal>
          <c:yVal>
            <c:numRef>
              <c:f>Data!$AG$24:$AG$71</c:f>
              <c:numCache>
                <c:ptCount val="48"/>
                <c:pt idx="0">
                  <c:v>33.210804522791676</c:v>
                </c:pt>
                <c:pt idx="1">
                  <c:v>20.005890722014172</c:v>
                </c:pt>
                <c:pt idx="2">
                  <c:v>15.981929302189052</c:v>
                </c:pt>
                <c:pt idx="3">
                  <c:v>14.253205977602029</c:v>
                </c:pt>
                <c:pt idx="4">
                  <c:v>13.44257789111024</c:v>
                </c:pt>
                <c:pt idx="5">
                  <c:v>13.090997423666074</c:v>
                </c:pt>
                <c:pt idx="6">
                  <c:v>13.001729881391974</c:v>
                </c:pt>
                <c:pt idx="7">
                  <c:v>13.076407917349165</c:v>
                </c:pt>
                <c:pt idx="8">
                  <c:v>13.26038300546055</c:v>
                </c:pt>
                <c:pt idx="9">
                  <c:v>13.520866030079876</c:v>
                </c:pt>
                <c:pt idx="10">
                  <c:v>13.836991190341333</c:v>
                </c:pt>
                <c:pt idx="11">
                  <c:v>14.194847952334396</c:v>
                </c:pt>
                <c:pt idx="12">
                  <c:v>14.58480594642869</c:v>
                </c:pt>
                <c:pt idx="13">
                  <c:v>14.99998633717395</c:v>
                </c:pt>
                <c:pt idx="14">
                  <c:v>15.435344645239985</c:v>
                </c:pt>
                <c:pt idx="15">
                  <c:v>15.887097511129152</c:v>
                </c:pt>
                <c:pt idx="16">
                  <c:v>16.35235177757854</c:v>
                </c:pt>
                <c:pt idx="17">
                  <c:v>16.828857211161452</c:v>
                </c:pt>
                <c:pt idx="18">
                  <c:v>17.314837311804165</c:v>
                </c:pt>
                <c:pt idx="19">
                  <c:v>17.808870879447717</c:v>
                </c:pt>
                <c:pt idx="20">
                  <c:v>18.30980741880627</c:v>
                </c:pt>
                <c:pt idx="21">
                  <c:v>18.816705615555055</c:v>
                </c:pt>
                <c:pt idx="22">
                  <c:v>19.328787862208383</c:v>
                </c:pt>
                <c:pt idx="23">
                  <c:v>7.963185475172626</c:v>
                </c:pt>
                <c:pt idx="24">
                  <c:v>8.437890722014172</c:v>
                </c:pt>
                <c:pt idx="25">
                  <c:v>8.91965823991799</c:v>
                </c:pt>
                <c:pt idx="26">
                  <c:v>9.407703332099382</c:v>
                </c:pt>
                <c:pt idx="27">
                  <c:v>9.901353401314323</c:v>
                </c:pt>
                <c:pt idx="28">
                  <c:v>10.400028622352444</c:v>
                </c:pt>
                <c:pt idx="29">
                  <c:v>10.903226480031428</c:v>
                </c:pt>
                <c:pt idx="30">
                  <c:v>11.410509299837644</c:v>
                </c:pt>
                <c:pt idx="31">
                  <c:v>11.921494116571662</c:v>
                </c:pt>
                <c:pt idx="32">
                  <c:v>12.435844385058232</c:v>
                </c:pt>
                <c:pt idx="33">
                  <c:v>12.95326315367212</c:v>
                </c:pt>
                <c:pt idx="34">
                  <c:v>13.473487408116707</c:v>
                </c:pt>
                <c:pt idx="35">
                  <c:v>13.996283357906101</c:v>
                </c:pt>
                <c:pt idx="36">
                  <c:v>14.52144248720153</c:v>
                </c:pt>
                <c:pt idx="37">
                  <c:v>15.048778229199884</c:v>
                </c:pt>
                <c:pt idx="38">
                  <c:v>15.578123152154793</c:v>
                </c:pt>
                <c:pt idx="39">
                  <c:v>16.109326567494506</c:v>
                </c:pt>
                <c:pt idx="40">
                  <c:v>16.642252487971362</c:v>
                </c:pt>
                <c:pt idx="41">
                  <c:v>17.17677787750413</c:v>
                </c:pt>
                <c:pt idx="42">
                  <c:v>17.712791145228447</c:v>
                </c:pt>
                <c:pt idx="43">
                  <c:v>18.25019084490398</c:v>
                </c:pt>
                <c:pt idx="44">
                  <c:v>18.788884547733986</c:v>
                </c:pt>
                <c:pt idx="45">
                  <c:v>19.328787862208383</c:v>
                </c:pt>
                <c:pt idx="46">
                  <c:v>19.869823579073273</c:v>
                </c:pt>
                <c:pt idx="47">
                  <c:v>20.411920923179263</c:v>
                </c:pt>
              </c:numCache>
            </c:numRef>
          </c:yVal>
          <c:smooth val="1"/>
        </c:ser>
        <c:ser>
          <c:idx val="5"/>
          <c:order val="1"/>
          <c:tx>
            <c:v>Proposed Total Cost</c:v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Data!$B$24:$B$71</c:f>
              <c:numCach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xVal>
          <c:yVal>
            <c:numRef>
              <c:f>'[4]Data'!$AG$24:$AG$71</c:f>
              <c:numCache>
                <c:ptCount val="48"/>
                <c:pt idx="1">
                  <c:v>0</c:v>
                </c:pt>
                <c:pt idx="4">
                  <c:v>71.60086808382893</c:v>
                </c:pt>
                <c:pt idx="5">
                  <c:v>36.685152149344724</c:v>
                </c:pt>
                <c:pt idx="6">
                  <c:v>25.10276954819385</c:v>
                </c:pt>
                <c:pt idx="7">
                  <c:v>19.353720280376315</c:v>
                </c:pt>
                <c:pt idx="8">
                  <c:v>15.938004345892114</c:v>
                </c:pt>
                <c:pt idx="9">
                  <c:v>13.688955078074578</c:v>
                </c:pt>
                <c:pt idx="10">
                  <c:v>12.10657247692371</c:v>
                </c:pt>
                <c:pt idx="11">
                  <c:v>10.940856542439505</c:v>
                </c:pt>
                <c:pt idx="12">
                  <c:v>10.052918385733081</c:v>
                </c:pt>
                <c:pt idx="13">
                  <c:v>9.3594246734711</c:v>
                </c:pt>
                <c:pt idx="14">
                  <c:v>8.807345102623263</c:v>
                </c:pt>
                <c:pt idx="15">
                  <c:v>8.361326137836029</c:v>
                </c:pt>
                <c:pt idx="16">
                  <c:v>7.996892254633879</c:v>
                </c:pt>
                <c:pt idx="17">
                  <c:v>7.69656093553429</c:v>
                </c:pt>
                <c:pt idx="18">
                  <c:v>7.447511667716755</c:v>
                </c:pt>
                <c:pt idx="19">
                  <c:v>7.240129066565885</c:v>
                </c:pt>
                <c:pt idx="20">
                  <c:v>7.067060190905211</c:v>
                </c:pt>
                <c:pt idx="21">
                  <c:v>6.922586086486368</c:v>
                </c:pt>
                <c:pt idx="22">
                  <c:v>6.802191789429067</c:v>
                </c:pt>
                <c:pt idx="23">
                  <c:v>6.702265328629074</c:v>
                </c:pt>
                <c:pt idx="24">
                  <c:v>6.619882727478204</c:v>
                </c:pt>
                <c:pt idx="25">
                  <c:v>6.5526516414788505</c:v>
                </c:pt>
                <c:pt idx="26">
                  <c:v>6.498595786046032</c:v>
                </c:pt>
                <c:pt idx="27">
                  <c:v>6.456068257358931</c:v>
                </c:pt>
                <c:pt idx="28">
                  <c:v>6.423685656208061</c:v>
                </c:pt>
                <c:pt idx="29">
                  <c:v>6.400277414031552</c:v>
                </c:pt>
                <c:pt idx="30">
                  <c:v>6.384846379832249</c:v>
                </c:pt>
                <c:pt idx="31">
                  <c:v>6.376537852755454</c:v>
                </c:pt>
                <c:pt idx="32">
                  <c:v>6.374615021719528</c:v>
                </c:pt>
                <c:pt idx="33">
                  <c:v>6.3784393171203835</c:v>
                </c:pt>
                <c:pt idx="34">
                  <c:v>6.387454565431881</c:v>
                </c:pt>
                <c:pt idx="35">
                  <c:v>6.401174114818645</c:v>
                </c:pt>
                <c:pt idx="36">
                  <c:v>6.419170301546564</c:v>
                </c:pt>
                <c:pt idx="37">
                  <c:v>6.441065775262006</c:v>
                </c:pt>
                <c:pt idx="38">
                  <c:v>6.466526311366039</c:v>
                </c:pt>
                <c:pt idx="39">
                  <c:v>6.495254821326281</c:v>
                </c:pt>
                <c:pt idx="40">
                  <c:v>6.526986334289527</c:v>
                </c:pt>
                <c:pt idx="41">
                  <c:v>6.561483771071327</c:v>
                </c:pt>
                <c:pt idx="42">
                  <c:v>6.598534368301024</c:v>
                </c:pt>
                <c:pt idx="43">
                  <c:v>6.637946638945027</c:v>
                </c:pt>
                <c:pt idx="44">
                  <c:v>6.679547777631557</c:v>
                </c:pt>
                <c:pt idx="45">
                  <c:v>6.72318143664329</c:v>
                </c:pt>
                <c:pt idx="46">
                  <c:v>6.768705812236607</c:v>
                </c:pt>
                <c:pt idx="47">
                  <c:v>6.81599199191731</c:v>
                </c:pt>
              </c:numCache>
            </c:numRef>
          </c:yVal>
          <c:smooth val="1"/>
        </c:ser>
        <c:axId val="20310092"/>
        <c:axId val="48573101"/>
      </c:scatterChart>
      <c:scatterChart>
        <c:scatterStyle val="lineMarker"/>
        <c:varyColors val="0"/>
        <c:ser>
          <c:idx val="0"/>
          <c:order val="2"/>
          <c:tx>
            <c:v>Accumulated Savings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Data!$B$24:$B$71</c:f>
              <c:numCach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xVal>
          <c:yVal>
            <c:numRef>
              <c:f>Data!$AL$24:$AL$71</c:f>
              <c:numCache>
                <c:ptCount val="48"/>
                <c:pt idx="0">
                  <c:v>929.9025266381668</c:v>
                </c:pt>
                <c:pt idx="1">
                  <c:v>1104.4674668545636</c:v>
                </c:pt>
                <c:pt idx="2">
                  <c:v>1294.8948206491903</c:v>
                </c:pt>
                <c:pt idx="3">
                  <c:v>1501.1845880220471</c:v>
                </c:pt>
                <c:pt idx="4">
                  <c:v>1678.512462625924</c:v>
                </c:pt>
                <c:pt idx="5">
                  <c:v>1869.3427969735885</c:v>
                </c:pt>
                <c:pt idx="6">
                  <c:v>2073.675591065041</c:v>
                </c:pt>
                <c:pt idx="7">
                  <c:v>2291.5108449002805</c:v>
                </c:pt>
                <c:pt idx="8">
                  <c:v>2522.848558479308</c:v>
                </c:pt>
                <c:pt idx="9">
                  <c:v>2767.688731802123</c:v>
                </c:pt>
                <c:pt idx="10">
                  <c:v>3026.0313648687256</c:v>
                </c:pt>
                <c:pt idx="11">
                  <c:v>3297.876457679116</c:v>
                </c:pt>
                <c:pt idx="12">
                  <c:v>3583.224010233294</c:v>
                </c:pt>
                <c:pt idx="13">
                  <c:v>3882.0740225312593</c:v>
                </c:pt>
                <c:pt idx="14">
                  <c:v>4194.426494573012</c:v>
                </c:pt>
                <c:pt idx="15">
                  <c:v>4520.281426358552</c:v>
                </c:pt>
                <c:pt idx="16">
                  <c:v>4859.638817887881</c:v>
                </c:pt>
                <c:pt idx="17">
                  <c:v>5212.4986691609965</c:v>
                </c:pt>
                <c:pt idx="18">
                  <c:v>5578.8609801779</c:v>
                </c:pt>
                <c:pt idx="19">
                  <c:v>5958.725750938592</c:v>
                </c:pt>
                <c:pt idx="20">
                  <c:v>6352.092981443071</c:v>
                </c:pt>
                <c:pt idx="21">
                  <c:v>6758.962671691338</c:v>
                </c:pt>
                <c:pt idx="22">
                  <c:v>7950.534821683392</c:v>
                </c:pt>
                <c:pt idx="23">
                  <c:v>8019.573919119945</c:v>
                </c:pt>
                <c:pt idx="24">
                  <c:v>8102.115476300285</c:v>
                </c:pt>
                <c:pt idx="25">
                  <c:v>8198.159493224413</c:v>
                </c:pt>
                <c:pt idx="26">
                  <c:v>8307.70596989233</c:v>
                </c:pt>
                <c:pt idx="27">
                  <c:v>8430.754906304033</c:v>
                </c:pt>
                <c:pt idx="28">
                  <c:v>8567.306302459525</c:v>
                </c:pt>
                <c:pt idx="29">
                  <c:v>8717.360158358804</c:v>
                </c:pt>
                <c:pt idx="30">
                  <c:v>8880.916474001871</c:v>
                </c:pt>
                <c:pt idx="31">
                  <c:v>9057.975249388724</c:v>
                </c:pt>
                <c:pt idx="32">
                  <c:v>9248.536484519365</c:v>
                </c:pt>
                <c:pt idx="33">
                  <c:v>9452.600179393794</c:v>
                </c:pt>
                <c:pt idx="34">
                  <c:v>9670.16633401201</c:v>
                </c:pt>
                <c:pt idx="35">
                  <c:v>9901.234948374014</c:v>
                </c:pt>
                <c:pt idx="36">
                  <c:v>10145.806022479806</c:v>
                </c:pt>
                <c:pt idx="37">
                  <c:v>10403.879556329386</c:v>
                </c:pt>
                <c:pt idx="38">
                  <c:v>10675.455549922754</c:v>
                </c:pt>
                <c:pt idx="39">
                  <c:v>10960.534003259909</c:v>
                </c:pt>
                <c:pt idx="40">
                  <c:v>11259.114916340852</c:v>
                </c:pt>
                <c:pt idx="41">
                  <c:v>11571.198289165583</c:v>
                </c:pt>
                <c:pt idx="42">
                  <c:v>11896.784121734101</c:v>
                </c:pt>
                <c:pt idx="43">
                  <c:v>12235.872414046406</c:v>
                </c:pt>
                <c:pt idx="44">
                  <c:v>12588.463166102498</c:v>
                </c:pt>
                <c:pt idx="45">
                  <c:v>12954.556377902378</c:v>
                </c:pt>
                <c:pt idx="46">
                  <c:v>13334.152049446046</c:v>
                </c:pt>
                <c:pt idx="47">
                  <c:v>13727.250180733501</c:v>
                </c:pt>
              </c:numCache>
            </c:numRef>
          </c:yVal>
          <c:smooth val="0"/>
        </c:ser>
        <c:axId val="34504726"/>
        <c:axId val="42107079"/>
      </c:scatterChart>
      <c:valAx>
        <c:axId val="20310092"/>
        <c:scaling>
          <c:orientation val="minMax"/>
          <c:max val="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Interval (1 interval = 4 weeks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y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1 month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6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</a:defRPr>
            </a:pPr>
          </a:p>
        </c:txPr>
        <c:crossAx val="48573101"/>
        <c:crosses val="autoZero"/>
        <c:crossBetween val="midCat"/>
        <c:dispUnits/>
        <c:majorUnit val="3"/>
        <c:minorUnit val="1"/>
      </c:valAx>
      <c:valAx>
        <c:axId val="4857310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</a:defRPr>
            </a:pPr>
          </a:p>
        </c:txPr>
        <c:crossAx val="20310092"/>
        <c:crosses val="autoZero"/>
        <c:crossBetween val="midCat"/>
        <c:dispUnits/>
        <c:majorUnit val="10"/>
        <c:minorUnit val="5"/>
      </c:valAx>
      <c:valAx>
        <c:axId val="34504726"/>
        <c:scaling>
          <c:orientation val="minMax"/>
        </c:scaling>
        <c:axPos val="b"/>
        <c:delete val="1"/>
        <c:majorTickMark val="out"/>
        <c:minorTickMark val="none"/>
        <c:tickLblPos val="nextTo"/>
        <c:crossAx val="42107079"/>
        <c:crosses val="max"/>
        <c:crossBetween val="midCat"/>
        <c:dispUnits/>
      </c:valAx>
      <c:valAx>
        <c:axId val="42107079"/>
        <c:scaling>
          <c:orientation val="minMax"/>
          <c:max val="14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</a:rPr>
                  <a:t>Accumulated Savings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</a:defRPr>
            </a:pPr>
          </a:p>
        </c:txPr>
        <c:crossAx val="34504726"/>
        <c:crosses val="max"/>
        <c:crossBetween val="midCat"/>
        <c:dispUnits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"/>
          <c:y val="0.46325"/>
          <c:w val="0.19875"/>
          <c:h val="0.27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99"/>
                </a:solidFill>
              </a:rPr>
              <a:t>Filter Cost per Average Day and Accumulated Savings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UCB LeConte Hall Current Practice (65% ASHRAE Efficiency Bag filters with Prefilters) vs. 65% Efficiency Extened Surface Area Filters with No Pefilters</a:t>
            </a:r>
          </a:p>
        </c:rich>
      </c:tx>
      <c:layout>
        <c:manualLayout>
          <c:xMode val="factor"/>
          <c:yMode val="factor"/>
          <c:x val="-0.006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27225"/>
          <c:w val="0.71225"/>
          <c:h val="0.606"/>
        </c:manualLayout>
      </c:layout>
      <c:scatterChart>
        <c:scatterStyle val="smoothMarker"/>
        <c:varyColors val="0"/>
        <c:ser>
          <c:idx val="2"/>
          <c:order val="0"/>
          <c:tx>
            <c:v>Existing Total Cost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Data!$B$24:$B$71</c:f>
              <c:numCach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xVal>
          <c:yVal>
            <c:numRef>
              <c:f>Data!$AG$24:$AG$71</c:f>
              <c:numCache>
                <c:ptCount val="48"/>
                <c:pt idx="0">
                  <c:v>33.210804522791676</c:v>
                </c:pt>
                <c:pt idx="1">
                  <c:v>20.005890722014172</c:v>
                </c:pt>
                <c:pt idx="2">
                  <c:v>15.981929302189052</c:v>
                </c:pt>
                <c:pt idx="3">
                  <c:v>14.253205977602029</c:v>
                </c:pt>
                <c:pt idx="4">
                  <c:v>13.44257789111024</c:v>
                </c:pt>
                <c:pt idx="5">
                  <c:v>13.090997423666074</c:v>
                </c:pt>
                <c:pt idx="6">
                  <c:v>13.001729881391974</c:v>
                </c:pt>
                <c:pt idx="7">
                  <c:v>13.076407917349165</c:v>
                </c:pt>
                <c:pt idx="8">
                  <c:v>13.26038300546055</c:v>
                </c:pt>
                <c:pt idx="9">
                  <c:v>13.520866030079876</c:v>
                </c:pt>
                <c:pt idx="10">
                  <c:v>13.836991190341333</c:v>
                </c:pt>
                <c:pt idx="11">
                  <c:v>14.194847952334396</c:v>
                </c:pt>
                <c:pt idx="12">
                  <c:v>14.58480594642869</c:v>
                </c:pt>
                <c:pt idx="13">
                  <c:v>14.99998633717395</c:v>
                </c:pt>
                <c:pt idx="14">
                  <c:v>15.435344645239985</c:v>
                </c:pt>
                <c:pt idx="15">
                  <c:v>15.887097511129152</c:v>
                </c:pt>
                <c:pt idx="16">
                  <c:v>16.35235177757854</c:v>
                </c:pt>
                <c:pt idx="17">
                  <c:v>16.828857211161452</c:v>
                </c:pt>
                <c:pt idx="18">
                  <c:v>17.314837311804165</c:v>
                </c:pt>
                <c:pt idx="19">
                  <c:v>17.808870879447717</c:v>
                </c:pt>
                <c:pt idx="20">
                  <c:v>18.30980741880627</c:v>
                </c:pt>
                <c:pt idx="21">
                  <c:v>18.816705615555055</c:v>
                </c:pt>
                <c:pt idx="22">
                  <c:v>19.328787862208383</c:v>
                </c:pt>
                <c:pt idx="23">
                  <c:v>7.963185475172626</c:v>
                </c:pt>
                <c:pt idx="24">
                  <c:v>8.437890722014172</c:v>
                </c:pt>
                <c:pt idx="25">
                  <c:v>8.91965823991799</c:v>
                </c:pt>
                <c:pt idx="26">
                  <c:v>9.407703332099382</c:v>
                </c:pt>
                <c:pt idx="27">
                  <c:v>9.901353401314323</c:v>
                </c:pt>
                <c:pt idx="28">
                  <c:v>10.400028622352444</c:v>
                </c:pt>
                <c:pt idx="29">
                  <c:v>10.903226480031428</c:v>
                </c:pt>
                <c:pt idx="30">
                  <c:v>11.410509299837644</c:v>
                </c:pt>
                <c:pt idx="31">
                  <c:v>11.921494116571662</c:v>
                </c:pt>
                <c:pt idx="32">
                  <c:v>12.435844385058232</c:v>
                </c:pt>
                <c:pt idx="33">
                  <c:v>12.95326315367212</c:v>
                </c:pt>
                <c:pt idx="34">
                  <c:v>13.473487408116707</c:v>
                </c:pt>
                <c:pt idx="35">
                  <c:v>13.996283357906101</c:v>
                </c:pt>
                <c:pt idx="36">
                  <c:v>14.52144248720153</c:v>
                </c:pt>
                <c:pt idx="37">
                  <c:v>15.048778229199884</c:v>
                </c:pt>
                <c:pt idx="38">
                  <c:v>15.578123152154793</c:v>
                </c:pt>
                <c:pt idx="39">
                  <c:v>16.109326567494506</c:v>
                </c:pt>
                <c:pt idx="40">
                  <c:v>16.642252487971362</c:v>
                </c:pt>
                <c:pt idx="41">
                  <c:v>17.17677787750413</c:v>
                </c:pt>
                <c:pt idx="42">
                  <c:v>17.712791145228447</c:v>
                </c:pt>
                <c:pt idx="43">
                  <c:v>18.25019084490398</c:v>
                </c:pt>
                <c:pt idx="44">
                  <c:v>18.788884547733986</c:v>
                </c:pt>
                <c:pt idx="45">
                  <c:v>19.328787862208383</c:v>
                </c:pt>
                <c:pt idx="46">
                  <c:v>19.869823579073273</c:v>
                </c:pt>
                <c:pt idx="47">
                  <c:v>20.411920923179263</c:v>
                </c:pt>
              </c:numCache>
            </c:numRef>
          </c:yVal>
          <c:smooth val="1"/>
        </c:ser>
        <c:ser>
          <c:idx val="5"/>
          <c:order val="1"/>
          <c:tx>
            <c:v>Proposed Total Cost</c:v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Data!$B$24:$B$71</c:f>
              <c:numCach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xVal>
          <c:yVal>
            <c:numRef>
              <c:f>'[4]Data'!$AG$24:$AG$71</c:f>
              <c:numCache>
                <c:ptCount val="48"/>
                <c:pt idx="1">
                  <c:v>0</c:v>
                </c:pt>
                <c:pt idx="4">
                  <c:v>71.60086808382893</c:v>
                </c:pt>
                <c:pt idx="5">
                  <c:v>36.685152149344724</c:v>
                </c:pt>
                <c:pt idx="6">
                  <c:v>25.10276954819385</c:v>
                </c:pt>
                <c:pt idx="7">
                  <c:v>19.353720280376315</c:v>
                </c:pt>
                <c:pt idx="8">
                  <c:v>15.938004345892114</c:v>
                </c:pt>
                <c:pt idx="9">
                  <c:v>13.688955078074578</c:v>
                </c:pt>
                <c:pt idx="10">
                  <c:v>12.10657247692371</c:v>
                </c:pt>
                <c:pt idx="11">
                  <c:v>10.940856542439505</c:v>
                </c:pt>
                <c:pt idx="12">
                  <c:v>10.052918385733081</c:v>
                </c:pt>
                <c:pt idx="13">
                  <c:v>9.3594246734711</c:v>
                </c:pt>
                <c:pt idx="14">
                  <c:v>8.807345102623263</c:v>
                </c:pt>
                <c:pt idx="15">
                  <c:v>8.361326137836029</c:v>
                </c:pt>
                <c:pt idx="16">
                  <c:v>7.996892254633879</c:v>
                </c:pt>
                <c:pt idx="17">
                  <c:v>7.69656093553429</c:v>
                </c:pt>
                <c:pt idx="18">
                  <c:v>7.447511667716755</c:v>
                </c:pt>
                <c:pt idx="19">
                  <c:v>7.240129066565885</c:v>
                </c:pt>
                <c:pt idx="20">
                  <c:v>7.067060190905211</c:v>
                </c:pt>
                <c:pt idx="21">
                  <c:v>6.922586086486368</c:v>
                </c:pt>
                <c:pt idx="22">
                  <c:v>6.802191789429067</c:v>
                </c:pt>
                <c:pt idx="23">
                  <c:v>6.702265328629074</c:v>
                </c:pt>
                <c:pt idx="24">
                  <c:v>6.619882727478204</c:v>
                </c:pt>
                <c:pt idx="25">
                  <c:v>6.5526516414788505</c:v>
                </c:pt>
                <c:pt idx="26">
                  <c:v>6.498595786046032</c:v>
                </c:pt>
                <c:pt idx="27">
                  <c:v>6.456068257358931</c:v>
                </c:pt>
                <c:pt idx="28">
                  <c:v>6.423685656208061</c:v>
                </c:pt>
                <c:pt idx="29">
                  <c:v>6.400277414031552</c:v>
                </c:pt>
                <c:pt idx="30">
                  <c:v>6.384846379832249</c:v>
                </c:pt>
                <c:pt idx="31">
                  <c:v>6.376537852755454</c:v>
                </c:pt>
                <c:pt idx="32">
                  <c:v>6.374615021719528</c:v>
                </c:pt>
                <c:pt idx="33">
                  <c:v>6.3784393171203835</c:v>
                </c:pt>
                <c:pt idx="34">
                  <c:v>6.387454565431881</c:v>
                </c:pt>
                <c:pt idx="35">
                  <c:v>6.401174114818645</c:v>
                </c:pt>
                <c:pt idx="36">
                  <c:v>6.419170301546564</c:v>
                </c:pt>
                <c:pt idx="37">
                  <c:v>6.441065775262006</c:v>
                </c:pt>
                <c:pt idx="38">
                  <c:v>6.466526311366039</c:v>
                </c:pt>
                <c:pt idx="39">
                  <c:v>6.495254821326281</c:v>
                </c:pt>
                <c:pt idx="40">
                  <c:v>6.526986334289527</c:v>
                </c:pt>
                <c:pt idx="41">
                  <c:v>6.561483771071327</c:v>
                </c:pt>
                <c:pt idx="42">
                  <c:v>6.598534368301024</c:v>
                </c:pt>
                <c:pt idx="43">
                  <c:v>6.637946638945027</c:v>
                </c:pt>
                <c:pt idx="44">
                  <c:v>6.679547777631557</c:v>
                </c:pt>
                <c:pt idx="45">
                  <c:v>6.72318143664329</c:v>
                </c:pt>
                <c:pt idx="46">
                  <c:v>6.768705812236607</c:v>
                </c:pt>
                <c:pt idx="47">
                  <c:v>6.81599199191731</c:v>
                </c:pt>
              </c:numCache>
            </c:numRef>
          </c:yVal>
          <c:smooth val="1"/>
        </c:ser>
        <c:axId val="43419392"/>
        <c:axId val="55230209"/>
      </c:scatterChart>
      <c:scatterChart>
        <c:scatterStyle val="lineMarker"/>
        <c:varyColors val="0"/>
        <c:ser>
          <c:idx val="0"/>
          <c:order val="2"/>
          <c:tx>
            <c:v>Accumulated Savings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Data!$B$24:$B$71</c:f>
              <c:numCach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xVal>
          <c:yVal>
            <c:numRef>
              <c:f>Data!$AL$24:$AL$71</c:f>
              <c:numCache>
                <c:ptCount val="48"/>
                <c:pt idx="0">
                  <c:v>929.9025266381668</c:v>
                </c:pt>
                <c:pt idx="1">
                  <c:v>1104.4674668545636</c:v>
                </c:pt>
                <c:pt idx="2">
                  <c:v>1294.8948206491903</c:v>
                </c:pt>
                <c:pt idx="3">
                  <c:v>1501.1845880220471</c:v>
                </c:pt>
                <c:pt idx="4">
                  <c:v>1678.512462625924</c:v>
                </c:pt>
                <c:pt idx="5">
                  <c:v>1869.3427969735885</c:v>
                </c:pt>
                <c:pt idx="6">
                  <c:v>2073.675591065041</c:v>
                </c:pt>
                <c:pt idx="7">
                  <c:v>2291.5108449002805</c:v>
                </c:pt>
                <c:pt idx="8">
                  <c:v>2522.848558479308</c:v>
                </c:pt>
                <c:pt idx="9">
                  <c:v>2767.688731802123</c:v>
                </c:pt>
                <c:pt idx="10">
                  <c:v>3026.0313648687256</c:v>
                </c:pt>
                <c:pt idx="11">
                  <c:v>3297.876457679116</c:v>
                </c:pt>
                <c:pt idx="12">
                  <c:v>3583.224010233294</c:v>
                </c:pt>
                <c:pt idx="13">
                  <c:v>3882.0740225312593</c:v>
                </c:pt>
                <c:pt idx="14">
                  <c:v>4194.426494573012</c:v>
                </c:pt>
                <c:pt idx="15">
                  <c:v>4520.281426358552</c:v>
                </c:pt>
                <c:pt idx="16">
                  <c:v>4859.638817887881</c:v>
                </c:pt>
                <c:pt idx="17">
                  <c:v>5212.4986691609965</c:v>
                </c:pt>
                <c:pt idx="18">
                  <c:v>5578.8609801779</c:v>
                </c:pt>
                <c:pt idx="19">
                  <c:v>5958.725750938592</c:v>
                </c:pt>
                <c:pt idx="20">
                  <c:v>6352.092981443071</c:v>
                </c:pt>
                <c:pt idx="21">
                  <c:v>6758.962671691338</c:v>
                </c:pt>
                <c:pt idx="22">
                  <c:v>7950.534821683392</c:v>
                </c:pt>
                <c:pt idx="23">
                  <c:v>8019.573919119945</c:v>
                </c:pt>
                <c:pt idx="24">
                  <c:v>8102.115476300285</c:v>
                </c:pt>
                <c:pt idx="25">
                  <c:v>8198.159493224413</c:v>
                </c:pt>
                <c:pt idx="26">
                  <c:v>8307.70596989233</c:v>
                </c:pt>
                <c:pt idx="27">
                  <c:v>8430.754906304033</c:v>
                </c:pt>
                <c:pt idx="28">
                  <c:v>8567.306302459525</c:v>
                </c:pt>
                <c:pt idx="29">
                  <c:v>8717.360158358804</c:v>
                </c:pt>
                <c:pt idx="30">
                  <c:v>8880.916474001871</c:v>
                </c:pt>
                <c:pt idx="31">
                  <c:v>9057.975249388724</c:v>
                </c:pt>
                <c:pt idx="32">
                  <c:v>9248.536484519365</c:v>
                </c:pt>
                <c:pt idx="33">
                  <c:v>9452.600179393794</c:v>
                </c:pt>
                <c:pt idx="34">
                  <c:v>9670.16633401201</c:v>
                </c:pt>
                <c:pt idx="35">
                  <c:v>9901.234948374014</c:v>
                </c:pt>
                <c:pt idx="36">
                  <c:v>10145.806022479806</c:v>
                </c:pt>
                <c:pt idx="37">
                  <c:v>10403.879556329386</c:v>
                </c:pt>
                <c:pt idx="38">
                  <c:v>10675.455549922754</c:v>
                </c:pt>
                <c:pt idx="39">
                  <c:v>10960.534003259909</c:v>
                </c:pt>
                <c:pt idx="40">
                  <c:v>11259.114916340852</c:v>
                </c:pt>
                <c:pt idx="41">
                  <c:v>11571.198289165583</c:v>
                </c:pt>
                <c:pt idx="42">
                  <c:v>11896.784121734101</c:v>
                </c:pt>
                <c:pt idx="43">
                  <c:v>12235.872414046406</c:v>
                </c:pt>
                <c:pt idx="44">
                  <c:v>12588.463166102498</c:v>
                </c:pt>
                <c:pt idx="45">
                  <c:v>12954.556377902378</c:v>
                </c:pt>
                <c:pt idx="46">
                  <c:v>13334.152049446046</c:v>
                </c:pt>
                <c:pt idx="47">
                  <c:v>13727.250180733501</c:v>
                </c:pt>
              </c:numCache>
            </c:numRef>
          </c:yVal>
          <c:smooth val="0"/>
        </c:ser>
        <c:axId val="27309834"/>
        <c:axId val="44461915"/>
      </c:scatterChart>
      <c:valAx>
        <c:axId val="43419392"/>
        <c:scaling>
          <c:orientation val="minMax"/>
          <c:max val="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Interval (1 interval = 4 weeks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y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1 month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6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</a:defRPr>
            </a:pPr>
          </a:p>
        </c:txPr>
        <c:crossAx val="55230209"/>
        <c:crosses val="autoZero"/>
        <c:crossBetween val="midCat"/>
        <c:dispUnits/>
        <c:majorUnit val="3"/>
        <c:minorUnit val="1"/>
      </c:valAx>
      <c:valAx>
        <c:axId val="5523020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</a:defRPr>
            </a:pPr>
          </a:p>
        </c:txPr>
        <c:crossAx val="43419392"/>
        <c:crosses val="autoZero"/>
        <c:crossBetween val="midCat"/>
        <c:dispUnits/>
        <c:majorUnit val="10"/>
        <c:minorUnit val="5"/>
      </c:valAx>
      <c:valAx>
        <c:axId val="27309834"/>
        <c:scaling>
          <c:orientation val="minMax"/>
        </c:scaling>
        <c:axPos val="b"/>
        <c:delete val="1"/>
        <c:majorTickMark val="out"/>
        <c:minorTickMark val="none"/>
        <c:tickLblPos val="nextTo"/>
        <c:crossAx val="44461915"/>
        <c:crosses val="max"/>
        <c:crossBetween val="midCat"/>
        <c:dispUnits/>
      </c:valAx>
      <c:valAx>
        <c:axId val="44461915"/>
        <c:scaling>
          <c:orientation val="minMax"/>
          <c:max val="14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</a:rPr>
                  <a:t>Accumulated Savings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</a:defRPr>
            </a:pPr>
          </a:p>
        </c:txPr>
        <c:crossAx val="27309834"/>
        <c:crosses val="max"/>
        <c:crossBetween val="midCat"/>
        <c:dispUnits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75"/>
          <c:y val="0.463"/>
          <c:w val="0.19875"/>
          <c:h val="0.2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99"/>
                </a:solidFill>
              </a:rPr>
              <a:t>Filter Cost per Average Day</a:t>
            </a:r>
          </a:p>
        </c:rich>
      </c:tx>
      <c:layout>
        <c:manualLayout>
          <c:xMode val="factor"/>
          <c:yMode val="factor"/>
          <c:x val="-0.000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6325"/>
          <c:w val="0.77375"/>
          <c:h val="0.75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Data!$AE$21</c:f>
              <c:strCache>
                <c:ptCount val="1"/>
                <c:pt idx="0">
                  <c:v>Filter Cost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Data!$B$24:$B$71</c:f>
              <c:numCach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xVal>
          <c:yVal>
            <c:numRef>
              <c:f>Data!$AE$24:$AE$71</c:f>
              <c:numCache>
                <c:ptCount val="48"/>
                <c:pt idx="0">
                  <c:v>27.542857142857144</c:v>
                </c:pt>
                <c:pt idx="1">
                  <c:v>13.771428571428572</c:v>
                </c:pt>
                <c:pt idx="2">
                  <c:v>9.180952380952382</c:v>
                </c:pt>
                <c:pt idx="3">
                  <c:v>6.885714285714286</c:v>
                </c:pt>
                <c:pt idx="4">
                  <c:v>5.508571428571429</c:v>
                </c:pt>
                <c:pt idx="5">
                  <c:v>4.590476190476191</c:v>
                </c:pt>
                <c:pt idx="6">
                  <c:v>3.9346938775510205</c:v>
                </c:pt>
                <c:pt idx="7">
                  <c:v>3.442857142857143</c:v>
                </c:pt>
                <c:pt idx="8">
                  <c:v>3.0603174603174605</c:v>
                </c:pt>
                <c:pt idx="9">
                  <c:v>2.7542857142857144</c:v>
                </c:pt>
                <c:pt idx="10">
                  <c:v>2.503896103896104</c:v>
                </c:pt>
                <c:pt idx="11">
                  <c:v>2.2952380952380955</c:v>
                </c:pt>
                <c:pt idx="12">
                  <c:v>2.1186813186813187</c:v>
                </c:pt>
                <c:pt idx="13">
                  <c:v>1.9673469387755103</c:v>
                </c:pt>
                <c:pt idx="14">
                  <c:v>1.8361904761904764</c:v>
                </c:pt>
                <c:pt idx="15">
                  <c:v>1.7214285714285715</c:v>
                </c:pt>
                <c:pt idx="16">
                  <c:v>1.6201680672268908</c:v>
                </c:pt>
                <c:pt idx="17">
                  <c:v>1.5301587301587303</c:v>
                </c:pt>
                <c:pt idx="18">
                  <c:v>1.449624060150376</c:v>
                </c:pt>
                <c:pt idx="19">
                  <c:v>1.3771428571428572</c:v>
                </c:pt>
                <c:pt idx="20">
                  <c:v>1.3115646258503402</c:v>
                </c:pt>
                <c:pt idx="21">
                  <c:v>1.251948051948052</c:v>
                </c:pt>
                <c:pt idx="22">
                  <c:v>1.1975155279503107</c:v>
                </c:pt>
                <c:pt idx="23">
                  <c:v>2.2952380952380955</c:v>
                </c:pt>
                <c:pt idx="24">
                  <c:v>2.2034285714285717</c:v>
                </c:pt>
                <c:pt idx="25">
                  <c:v>2.1186813186813187</c:v>
                </c:pt>
                <c:pt idx="26">
                  <c:v>2.0402116402116404</c:v>
                </c:pt>
                <c:pt idx="27">
                  <c:v>1.9673469387755103</c:v>
                </c:pt>
                <c:pt idx="28">
                  <c:v>1.8995073891625618</c:v>
                </c:pt>
                <c:pt idx="29">
                  <c:v>1.8361904761904764</c:v>
                </c:pt>
                <c:pt idx="30">
                  <c:v>1.7769585253456222</c:v>
                </c:pt>
                <c:pt idx="31">
                  <c:v>1.7214285714285715</c:v>
                </c:pt>
                <c:pt idx="32">
                  <c:v>1.6692640692640694</c:v>
                </c:pt>
                <c:pt idx="33">
                  <c:v>1.6201680672268908</c:v>
                </c:pt>
                <c:pt idx="34">
                  <c:v>1.5738775510204082</c:v>
                </c:pt>
                <c:pt idx="35">
                  <c:v>1.5301587301587303</c:v>
                </c:pt>
                <c:pt idx="36">
                  <c:v>1.488803088803089</c:v>
                </c:pt>
                <c:pt idx="37">
                  <c:v>1.449624060150376</c:v>
                </c:pt>
                <c:pt idx="38">
                  <c:v>1.4124542124542125</c:v>
                </c:pt>
                <c:pt idx="39">
                  <c:v>1.3771428571428572</c:v>
                </c:pt>
                <c:pt idx="40">
                  <c:v>1.3435540069686411</c:v>
                </c:pt>
                <c:pt idx="41">
                  <c:v>1.3115646258503402</c:v>
                </c:pt>
                <c:pt idx="42">
                  <c:v>1.281063122923588</c:v>
                </c:pt>
                <c:pt idx="43">
                  <c:v>1.251948051948052</c:v>
                </c:pt>
                <c:pt idx="44">
                  <c:v>1.2241269841269842</c:v>
                </c:pt>
                <c:pt idx="45">
                  <c:v>1.1975155279503107</c:v>
                </c:pt>
                <c:pt idx="46">
                  <c:v>1.1720364741641338</c:v>
                </c:pt>
                <c:pt idx="47">
                  <c:v>1.1476190476190478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Data!$AF$21</c:f>
              <c:strCache>
                <c:ptCount val="1"/>
                <c:pt idx="0">
                  <c:v>Fan Energy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Data!$B$24:$B$71</c:f>
              <c:numCach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xVal>
          <c:yVal>
            <c:numRef>
              <c:f>Data!$AF$24:$AF$71</c:f>
              <c:numCache>
                <c:ptCount val="48"/>
                <c:pt idx="0">
                  <c:v>5.66794737993453</c:v>
                </c:pt>
                <c:pt idx="1">
                  <c:v>6.234462150585601</c:v>
                </c:pt>
                <c:pt idx="2">
                  <c:v>6.80097692123667</c:v>
                </c:pt>
                <c:pt idx="3">
                  <c:v>7.367491691887742</c:v>
                </c:pt>
                <c:pt idx="4">
                  <c:v>7.934006462538812</c:v>
                </c:pt>
                <c:pt idx="5">
                  <c:v>8.500521233189883</c:v>
                </c:pt>
                <c:pt idx="6">
                  <c:v>9.067036003840952</c:v>
                </c:pt>
                <c:pt idx="7">
                  <c:v>9.633550774492022</c:v>
                </c:pt>
                <c:pt idx="8">
                  <c:v>10.20006554514309</c:v>
                </c:pt>
                <c:pt idx="9">
                  <c:v>10.766580315794162</c:v>
                </c:pt>
                <c:pt idx="10">
                  <c:v>11.33309508644523</c:v>
                </c:pt>
                <c:pt idx="11">
                  <c:v>11.8996098570963</c:v>
                </c:pt>
                <c:pt idx="12">
                  <c:v>12.466124627747371</c:v>
                </c:pt>
                <c:pt idx="13">
                  <c:v>13.032639398398441</c:v>
                </c:pt>
                <c:pt idx="14">
                  <c:v>13.599154169049509</c:v>
                </c:pt>
                <c:pt idx="15">
                  <c:v>14.16566893970058</c:v>
                </c:pt>
                <c:pt idx="16">
                  <c:v>14.73218371035165</c:v>
                </c:pt>
                <c:pt idx="17">
                  <c:v>15.298698481002722</c:v>
                </c:pt>
                <c:pt idx="18">
                  <c:v>15.865213251653788</c:v>
                </c:pt>
                <c:pt idx="19">
                  <c:v>16.43172802230486</c:v>
                </c:pt>
                <c:pt idx="20">
                  <c:v>16.998242792955928</c:v>
                </c:pt>
                <c:pt idx="21">
                  <c:v>17.564757563607003</c:v>
                </c:pt>
                <c:pt idx="22">
                  <c:v>18.13127233425807</c:v>
                </c:pt>
                <c:pt idx="23">
                  <c:v>5.66794737993453</c:v>
                </c:pt>
                <c:pt idx="24">
                  <c:v>6.234462150585601</c:v>
                </c:pt>
                <c:pt idx="25">
                  <c:v>6.80097692123667</c:v>
                </c:pt>
                <c:pt idx="26">
                  <c:v>7.367491691887742</c:v>
                </c:pt>
                <c:pt idx="27">
                  <c:v>7.934006462538812</c:v>
                </c:pt>
                <c:pt idx="28">
                  <c:v>8.500521233189883</c:v>
                </c:pt>
                <c:pt idx="29">
                  <c:v>9.067036003840952</c:v>
                </c:pt>
                <c:pt idx="30">
                  <c:v>9.633550774492022</c:v>
                </c:pt>
                <c:pt idx="31">
                  <c:v>10.20006554514309</c:v>
                </c:pt>
                <c:pt idx="32">
                  <c:v>10.766580315794162</c:v>
                </c:pt>
                <c:pt idx="33">
                  <c:v>11.33309508644523</c:v>
                </c:pt>
                <c:pt idx="34">
                  <c:v>11.8996098570963</c:v>
                </c:pt>
                <c:pt idx="35">
                  <c:v>12.466124627747371</c:v>
                </c:pt>
                <c:pt idx="36">
                  <c:v>13.032639398398441</c:v>
                </c:pt>
                <c:pt idx="37">
                  <c:v>13.599154169049509</c:v>
                </c:pt>
                <c:pt idx="38">
                  <c:v>14.16566893970058</c:v>
                </c:pt>
                <c:pt idx="39">
                  <c:v>14.73218371035165</c:v>
                </c:pt>
                <c:pt idx="40">
                  <c:v>15.298698481002722</c:v>
                </c:pt>
                <c:pt idx="41">
                  <c:v>15.865213251653788</c:v>
                </c:pt>
                <c:pt idx="42">
                  <c:v>16.43172802230486</c:v>
                </c:pt>
                <c:pt idx="43">
                  <c:v>16.998242792955928</c:v>
                </c:pt>
                <c:pt idx="44">
                  <c:v>17.564757563607003</c:v>
                </c:pt>
                <c:pt idx="45">
                  <c:v>18.13127233425807</c:v>
                </c:pt>
                <c:pt idx="46">
                  <c:v>18.69778710490914</c:v>
                </c:pt>
                <c:pt idx="47">
                  <c:v>19.264301875560214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Data!$AG$21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Data!$B$24:$B$71</c:f>
              <c:numCach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xVal>
          <c:yVal>
            <c:numRef>
              <c:f>Data!$AG$24:$AG$71</c:f>
              <c:numCache>
                <c:ptCount val="48"/>
                <c:pt idx="0">
                  <c:v>33.210804522791676</c:v>
                </c:pt>
                <c:pt idx="1">
                  <c:v>20.005890722014172</c:v>
                </c:pt>
                <c:pt idx="2">
                  <c:v>15.981929302189052</c:v>
                </c:pt>
                <c:pt idx="3">
                  <c:v>14.253205977602029</c:v>
                </c:pt>
                <c:pt idx="4">
                  <c:v>13.44257789111024</c:v>
                </c:pt>
                <c:pt idx="5">
                  <c:v>13.090997423666074</c:v>
                </c:pt>
                <c:pt idx="6">
                  <c:v>13.001729881391974</c:v>
                </c:pt>
                <c:pt idx="7">
                  <c:v>13.076407917349165</c:v>
                </c:pt>
                <c:pt idx="8">
                  <c:v>13.26038300546055</c:v>
                </c:pt>
                <c:pt idx="9">
                  <c:v>13.520866030079876</c:v>
                </c:pt>
                <c:pt idx="10">
                  <c:v>13.836991190341333</c:v>
                </c:pt>
                <c:pt idx="11">
                  <c:v>14.194847952334396</c:v>
                </c:pt>
                <c:pt idx="12">
                  <c:v>14.58480594642869</c:v>
                </c:pt>
                <c:pt idx="13">
                  <c:v>14.99998633717395</c:v>
                </c:pt>
                <c:pt idx="14">
                  <c:v>15.435344645239985</c:v>
                </c:pt>
                <c:pt idx="15">
                  <c:v>15.887097511129152</c:v>
                </c:pt>
                <c:pt idx="16">
                  <c:v>16.35235177757854</c:v>
                </c:pt>
                <c:pt idx="17">
                  <c:v>16.828857211161452</c:v>
                </c:pt>
                <c:pt idx="18">
                  <c:v>17.314837311804165</c:v>
                </c:pt>
                <c:pt idx="19">
                  <c:v>17.808870879447717</c:v>
                </c:pt>
                <c:pt idx="20">
                  <c:v>18.30980741880627</c:v>
                </c:pt>
                <c:pt idx="21">
                  <c:v>18.816705615555055</c:v>
                </c:pt>
                <c:pt idx="22">
                  <c:v>19.328787862208383</c:v>
                </c:pt>
                <c:pt idx="23">
                  <c:v>7.963185475172626</c:v>
                </c:pt>
                <c:pt idx="24">
                  <c:v>8.437890722014172</c:v>
                </c:pt>
                <c:pt idx="25">
                  <c:v>8.91965823991799</c:v>
                </c:pt>
                <c:pt idx="26">
                  <c:v>9.407703332099382</c:v>
                </c:pt>
                <c:pt idx="27">
                  <c:v>9.901353401314323</c:v>
                </c:pt>
                <c:pt idx="28">
                  <c:v>10.400028622352444</c:v>
                </c:pt>
                <c:pt idx="29">
                  <c:v>10.903226480031428</c:v>
                </c:pt>
                <c:pt idx="30">
                  <c:v>11.410509299837644</c:v>
                </c:pt>
                <c:pt idx="31">
                  <c:v>11.921494116571662</c:v>
                </c:pt>
                <c:pt idx="32">
                  <c:v>12.435844385058232</c:v>
                </c:pt>
                <c:pt idx="33">
                  <c:v>12.95326315367212</c:v>
                </c:pt>
                <c:pt idx="34">
                  <c:v>13.473487408116707</c:v>
                </c:pt>
                <c:pt idx="35">
                  <c:v>13.996283357906101</c:v>
                </c:pt>
                <c:pt idx="36">
                  <c:v>14.52144248720153</c:v>
                </c:pt>
                <c:pt idx="37">
                  <c:v>15.048778229199884</c:v>
                </c:pt>
                <c:pt idx="38">
                  <c:v>15.578123152154793</c:v>
                </c:pt>
                <c:pt idx="39">
                  <c:v>16.109326567494506</c:v>
                </c:pt>
                <c:pt idx="40">
                  <c:v>16.642252487971362</c:v>
                </c:pt>
                <c:pt idx="41">
                  <c:v>17.17677787750413</c:v>
                </c:pt>
                <c:pt idx="42">
                  <c:v>17.712791145228447</c:v>
                </c:pt>
                <c:pt idx="43">
                  <c:v>18.25019084490398</c:v>
                </c:pt>
                <c:pt idx="44">
                  <c:v>18.788884547733986</c:v>
                </c:pt>
                <c:pt idx="45">
                  <c:v>19.328787862208383</c:v>
                </c:pt>
                <c:pt idx="46">
                  <c:v>19.869823579073273</c:v>
                </c:pt>
                <c:pt idx="47">
                  <c:v>20.411920923179263</c:v>
                </c:pt>
              </c:numCache>
            </c:numRef>
          </c:yVal>
          <c:smooth val="1"/>
        </c:ser>
        <c:axId val="64612916"/>
        <c:axId val="44645333"/>
      </c:scatterChart>
      <c:valAx>
        <c:axId val="64612916"/>
        <c:scaling>
          <c:orientation val="minMax"/>
          <c:max val="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Interval (1 interval = 4 weeks)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4645333"/>
        <c:crosses val="autoZero"/>
        <c:crossBetween val="midCat"/>
        <c:dispUnits/>
        <c:majorUnit val="12"/>
        <c:minorUnit val="1"/>
      </c:valAx>
      <c:valAx>
        <c:axId val="4464533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612916"/>
        <c:crosses val="autoZero"/>
        <c:crossBetween val="midCat"/>
        <c:dispUnits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75"/>
          <c:y val="0.4545"/>
          <c:w val="0.155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99"/>
                </a:solidFill>
              </a:rPr>
              <a:t>Pressure Drop vs. Operating Hours</a:t>
            </a:r>
          </a:p>
        </c:rich>
      </c:tx>
      <c:layout>
        <c:manualLayout>
          <c:xMode val="factor"/>
          <c:yMode val="factor"/>
          <c:x val="-0.001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6125"/>
          <c:w val="0.8485"/>
          <c:h val="0.76925"/>
        </c:manualLayout>
      </c:layout>
      <c:scatterChart>
        <c:scatterStyle val="lineMarker"/>
        <c:varyColors val="0"/>
        <c:ser>
          <c:idx val="0"/>
          <c:order val="0"/>
          <c:tx>
            <c:v>AHU-A</c:v>
          </c:tx>
          <c:spPr>
            <a:ln w="25400">
              <a:solidFill>
                <a:srgbClr val="0000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99"/>
              </a:solidFill>
              <a:ln>
                <a:solidFill>
                  <a:srgbClr val="000099"/>
                </a:solidFill>
              </a:ln>
            </c:spPr>
          </c:marker>
          <c:xVal>
            <c:numRef>
              <c:f>'Initial pressure drop'!$E$72:$E$73</c:f>
              <c:numCache>
                <c:ptCount val="2"/>
                <c:pt idx="0">
                  <c:v>0</c:v>
                </c:pt>
                <c:pt idx="1">
                  <c:v>2178</c:v>
                </c:pt>
              </c:numCache>
            </c:numRef>
          </c:xVal>
          <c:yVal>
            <c:numRef>
              <c:f>'Initial pressure drop'!$C$72:$C$73</c:f>
              <c:numCache>
                <c:ptCount val="2"/>
                <c:pt idx="0">
                  <c:v>0.18072222222222223</c:v>
                </c:pt>
                <c:pt idx="1">
                  <c:v>0.2</c:v>
                </c:pt>
              </c:numCache>
            </c:numRef>
          </c:yVal>
          <c:smooth val="0"/>
        </c:ser>
        <c:ser>
          <c:idx val="1"/>
          <c:order val="1"/>
          <c:tx>
            <c:v>AHU-C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'Initial pressure drop'!$F$72:$F$73</c:f>
              <c:numCache>
                <c:ptCount val="2"/>
                <c:pt idx="0">
                  <c:v>0</c:v>
                </c:pt>
                <c:pt idx="1">
                  <c:v>3144</c:v>
                </c:pt>
              </c:numCache>
            </c:numRef>
          </c:xVal>
          <c:yVal>
            <c:numRef>
              <c:f>'Initial pressure drop'!$D$72:$D$73</c:f>
              <c:numCache>
                <c:ptCount val="2"/>
                <c:pt idx="0">
                  <c:v>0.4129544444444444</c:v>
                </c:pt>
                <c:pt idx="1">
                  <c:v>0.6</c:v>
                </c:pt>
              </c:numCache>
            </c:numRef>
          </c:yVal>
          <c:smooth val="0"/>
        </c:ser>
        <c:axId val="66263678"/>
        <c:axId val="59502191"/>
      </c:scatterChart>
      <c:valAx>
        <c:axId val="66263678"/>
        <c:scaling>
          <c:orientation val="minMax"/>
          <c:max val="3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Accumulated Hours of Operation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9502191"/>
        <c:crosses val="autoZero"/>
        <c:crossBetween val="midCat"/>
        <c:dispUnits/>
      </c:valAx>
      <c:valAx>
        <c:axId val="59502191"/>
        <c:scaling>
          <c:orientation val="minMax"/>
          <c:max val="0.65"/>
          <c:min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Filter Pressure Drop, inches w.c.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6263678"/>
        <c:crosses val="autoZero"/>
        <c:crossBetween val="midCat"/>
        <c:dispUnits/>
        <c:min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75"/>
          <c:y val="0.47875"/>
          <c:w val="0.117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5" right="0.75" top="1" bottom="1" header="0.5" footer="0.5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0.39925</cdr:y>
    </cdr:from>
    <cdr:to>
      <cdr:x>0.7905</cdr:x>
      <cdr:y>0.47575</cdr:y>
    </cdr:to>
    <cdr:sp>
      <cdr:nvSpPr>
        <cdr:cNvPr id="1" name="Text Box 1"/>
        <cdr:cNvSpPr txBox="1">
          <a:spLocks noChangeArrowheads="1"/>
        </cdr:cNvSpPr>
      </cdr:nvSpPr>
      <cdr:spPr>
        <a:xfrm>
          <a:off x="4324350" y="2362200"/>
          <a:ext cx="2524125" cy="457200"/>
        </a:xfrm>
        <a:prstGeom prst="rect">
          <a:avLst/>
        </a:prstGeom>
        <a:solidFill>
          <a:srgbClr val="FF0000">
            <a:alpha val="50000"/>
          </a:srgbClr>
        </a:solidFill>
        <a:ln w="3810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Slope = 0.0595 inches w.c. per 1,000 hours of operation</a:t>
          </a:r>
        </a:p>
      </cdr:txBody>
    </cdr:sp>
  </cdr:relSizeAnchor>
  <cdr:relSizeAnchor xmlns:cdr="http://schemas.openxmlformats.org/drawingml/2006/chartDrawing">
    <cdr:from>
      <cdr:x>0.34525</cdr:x>
      <cdr:y>0.69475</cdr:y>
    </cdr:from>
    <cdr:to>
      <cdr:x>0.6365</cdr:x>
      <cdr:y>0.77125</cdr:y>
    </cdr:to>
    <cdr:sp>
      <cdr:nvSpPr>
        <cdr:cNvPr id="2" name="Text Box 2"/>
        <cdr:cNvSpPr txBox="1">
          <a:spLocks noChangeArrowheads="1"/>
        </cdr:cNvSpPr>
      </cdr:nvSpPr>
      <cdr:spPr>
        <a:xfrm>
          <a:off x="2990850" y="4114800"/>
          <a:ext cx="2524125" cy="457200"/>
        </a:xfrm>
        <a:prstGeom prst="rect">
          <a:avLst/>
        </a:prstGeom>
        <a:solidFill>
          <a:srgbClr val="000099">
            <a:alpha val="50000"/>
          </a:srgbClr>
        </a:solidFill>
        <a:ln w="3810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Slope = 0.0089 inches w.c. per 1,000 hours of operation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2447925</xdr:colOff>
      <xdr:row>0</xdr:row>
      <xdr:rowOff>1676400</xdr:rowOff>
    </xdr:to>
    <xdr:pic>
      <xdr:nvPicPr>
        <xdr:cNvPr id="1" name="Picture 1" descr="FDE new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43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43</xdr:row>
      <xdr:rowOff>57150</xdr:rowOff>
    </xdr:from>
    <xdr:to>
      <xdr:col>4</xdr:col>
      <xdr:colOff>952500</xdr:colOff>
      <xdr:row>57</xdr:row>
      <xdr:rowOff>142875</xdr:rowOff>
    </xdr:to>
    <xdr:pic>
      <xdr:nvPicPr>
        <xdr:cNvPr id="2" name="Picture 2" descr="Viledon Submittal Info_Page_4"/>
        <xdr:cNvPicPr preferRelativeResize="1">
          <a:picLocks noChangeAspect="1"/>
        </xdr:cNvPicPr>
      </xdr:nvPicPr>
      <xdr:blipFill>
        <a:blip r:embed="rId2"/>
        <a:srcRect t="14488" r="5760" b="50189"/>
        <a:stretch>
          <a:fillRect/>
        </a:stretch>
      </xdr:blipFill>
      <xdr:spPr>
        <a:xfrm>
          <a:off x="1514475" y="11458575"/>
          <a:ext cx="7324725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grpSp>
      <xdr:nvGrpSpPr>
        <xdr:cNvPr id="1" name="Group 52"/>
        <xdr:cNvGrpSpPr>
          <a:grpSpLocks/>
        </xdr:cNvGrpSpPr>
      </xdr:nvGrpSpPr>
      <xdr:grpSpPr>
        <a:xfrm>
          <a:off x="0" y="0"/>
          <a:ext cx="8143875" cy="1181100"/>
          <a:chOff x="0" y="0"/>
          <a:chExt cx="5760" cy="720"/>
        </a:xfrm>
        <a:solidFill>
          <a:srgbClr val="FFFFFF"/>
        </a:solidFill>
      </xdr:grpSpPr>
      <xdr:grpSp>
        <xdr:nvGrpSpPr>
          <xdr:cNvPr id="2" name="Group 53"/>
          <xdr:cNvGrpSpPr>
            <a:grpSpLocks/>
          </xdr:cNvGrpSpPr>
        </xdr:nvGrpSpPr>
        <xdr:grpSpPr>
          <a:xfrm>
            <a:off x="1" y="0"/>
            <a:ext cx="5759" cy="720"/>
            <a:chOff x="1" y="0"/>
            <a:chExt cx="5759" cy="720"/>
          </a:xfrm>
          <a:solidFill>
            <a:srgbClr val="FFFFFF"/>
          </a:solidFill>
        </xdr:grpSpPr>
        <xdr:sp>
          <xdr:nvSpPr>
            <xdr:cNvPr id="3" name="Rectangle 54"/>
            <xdr:cNvSpPr>
              <a:spLocks/>
            </xdr:cNvSpPr>
          </xdr:nvSpPr>
          <xdr:spPr>
            <a:xfrm>
              <a:off x="2590" y="0"/>
              <a:ext cx="3170" cy="720"/>
            </a:xfrm>
            <a:prstGeom prst="rect">
              <a:avLst/>
            </a:prstGeom>
            <a:gradFill rotWithShape="1">
              <a:gsLst>
                <a:gs pos="0">
                  <a:srgbClr val="21244D"/>
                </a:gs>
                <a:gs pos="100000">
                  <a:srgbClr val="0F1023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pic>
          <xdr:nvPicPr>
            <xdr:cNvPr id="4" name="Picture 55"/>
            <xdr:cNvPicPr preferRelativeResize="1">
              <a:picLocks noChangeAspect="1"/>
            </xdr:cNvPicPr>
          </xdr:nvPicPr>
          <xdr:blipFill>
            <a:blip r:embed="rId1"/>
            <a:srcRect l="2067" t="12265" r="1466" b="45753"/>
            <a:stretch>
              <a:fillRect/>
            </a:stretch>
          </xdr:blipFill>
          <xdr:spPr>
            <a:xfrm>
              <a:off x="1" y="1"/>
              <a:ext cx="2643" cy="7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5" name="Line 56"/>
          <xdr:cNvSpPr>
            <a:spLocks/>
          </xdr:cNvSpPr>
        </xdr:nvSpPr>
        <xdr:spPr>
          <a:xfrm>
            <a:off x="0" y="720"/>
            <a:ext cx="5760" cy="0"/>
          </a:xfrm>
          <a:prstGeom prst="line">
            <a:avLst/>
          </a:prstGeom>
          <a:noFill/>
          <a:ln w="285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1114425</xdr:colOff>
      <xdr:row>1</xdr:row>
      <xdr:rowOff>19050</xdr:rowOff>
    </xdr:from>
    <xdr:to>
      <xdr:col>6</xdr:col>
      <xdr:colOff>1066800</xdr:colOff>
      <xdr:row>2</xdr:row>
      <xdr:rowOff>228600</xdr:rowOff>
    </xdr:to>
    <xdr:pic>
      <xdr:nvPicPr>
        <xdr:cNvPr id="6" name="Picture 57" descr="FDE new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200150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0</xdr:row>
      <xdr:rowOff>1676400</xdr:rowOff>
    </xdr:to>
    <xdr:pic>
      <xdr:nvPicPr>
        <xdr:cNvPr id="1" name="Picture 1" descr="FDE new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43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0.19575</cdr:x>
      <cdr:y>0.2725</cdr:y>
    </cdr:from>
    <cdr:to>
      <cdr:x>0.56025</cdr:x>
      <cdr:y>0.5245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695450" y="1609725"/>
          <a:ext cx="3162300" cy="1495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0.15325</cdr:x>
      <cdr:y>0.27325</cdr:y>
    </cdr:from>
    <cdr:to>
      <cdr:x>0.5415</cdr:x>
      <cdr:y>0.53325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23975" y="1609725"/>
          <a:ext cx="3362325" cy="1543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0.227</cdr:x>
      <cdr:y>0.22475</cdr:y>
    </cdr:from>
    <cdr:to>
      <cdr:x>0.269</cdr:x>
      <cdr:y>0.8565</cdr:y>
    </cdr:to>
    <cdr:sp>
      <cdr:nvSpPr>
        <cdr:cNvPr id="1" name="Rectangle 1"/>
        <cdr:cNvSpPr>
          <a:spLocks/>
        </cdr:cNvSpPr>
      </cdr:nvSpPr>
      <cdr:spPr>
        <a:xfrm>
          <a:off x="1962150" y="1323975"/>
          <a:ext cx="361950" cy="3743325"/>
        </a:xfrm>
        <a:prstGeom prst="rect">
          <a:avLst/>
        </a:prstGeom>
        <a:solidFill>
          <a:srgbClr val="FFCC0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409575</xdr:colOff>
      <xdr:row>0</xdr:row>
      <xdr:rowOff>1676400</xdr:rowOff>
    </xdr:to>
    <xdr:pic>
      <xdr:nvPicPr>
        <xdr:cNvPr id="1" name="Picture 33" descr="FDE new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43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vid%20Sellers\My%20Documents\Workspace\00%20-%20FDE\CA%20DGS\Filters\Test%20Data\AHU-A%20and%20C%20filter%20bank%20flow%20and%20temperature%20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mIT\Project%20Data\UCB_LeConte\Calculations\06%20AHU2%20Zn%20Lvl%20Schedule%20-%20Savings%20v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mIT\Project%20Data\UCB_LeConte\Calculations\00%20LeConte%20Findings%20Summary%20v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HU%202%20Filters%20-%20Proposed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HU A"/>
      <sheetName val="AHU-C"/>
      <sheetName val="Savings Summary"/>
      <sheetName val="Chart1"/>
      <sheetName val="Initial pressure drop"/>
    </sheetNames>
    <sheetDataSet>
      <sheetData sheetId="0">
        <row r="13">
          <cell r="I13">
            <v>338.8541666666667</v>
          </cell>
        </row>
      </sheetData>
      <sheetData sheetId="1">
        <row r="12">
          <cell r="I12">
            <v>407.5208333333333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itial Fan NRG Savings Est"/>
      <sheetName val="Barrington Costs"/>
      <sheetName val="ALC Costs"/>
    </sheetNames>
    <sheetDataSet>
      <sheetData sheetId="0">
        <row r="26">
          <cell r="C26">
            <v>32000</v>
          </cell>
        </row>
        <row r="29">
          <cell r="C29">
            <v>0.18</v>
          </cell>
        </row>
        <row r="31">
          <cell r="C31">
            <v>0.2</v>
          </cell>
        </row>
        <row r="67">
          <cell r="C67">
            <v>2038.5714285714287</v>
          </cell>
          <cell r="D67">
            <v>2928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orking Table"/>
      <sheetName val="Working Table - No AHU 1 Sched"/>
      <sheetName val="Notes  for printing"/>
      <sheetName val="Exec Summary Tables"/>
      <sheetName val="Exec Summary Tables (2)"/>
      <sheetName val="Target vs. anticpated (2)"/>
      <sheetName val="Target vs. anticpated"/>
      <sheetName val="Target vs. anticpated (3)"/>
      <sheetName val="Target vs. anticpated R1"/>
      <sheetName val="Compatibility Report"/>
    </sheetNames>
    <sheetDataSet>
      <sheetData sheetId="0">
        <row r="16">
          <cell r="D16">
            <v>0.1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Data"/>
      <sheetName val="Filter Loading Graph - DMV Data"/>
      <sheetName val="Initial pressure drop"/>
      <sheetName val="Name"/>
    </sheetNames>
    <sheetDataSet>
      <sheetData sheetId="1">
        <row r="24">
          <cell r="AE24" t="str">
            <v>Filter Operating Cost $ per Average Day</v>
          </cell>
        </row>
        <row r="25">
          <cell r="AA25" t="str">
            <v>kWh</v>
          </cell>
          <cell r="AC25" t="str">
            <v>$</v>
          </cell>
          <cell r="AE25" t="str">
            <v>Filter Cost </v>
          </cell>
          <cell r="AF25" t="str">
            <v>Fan Energy</v>
          </cell>
          <cell r="AG25" t="str">
            <v>Total</v>
          </cell>
        </row>
        <row r="26">
          <cell r="AA26" t="str">
            <v>Total for the interval</v>
          </cell>
          <cell r="AC26" t="str">
            <v>Total</v>
          </cell>
        </row>
        <row r="28">
          <cell r="AA28">
            <v>448.2430634720986</v>
          </cell>
          <cell r="AC28">
            <v>44.82430634720986</v>
          </cell>
          <cell r="AE28">
            <v>70</v>
          </cell>
          <cell r="AF28">
            <v>1.6008680838289238</v>
          </cell>
          <cell r="AG28">
            <v>71.60086808382893</v>
          </cell>
        </row>
        <row r="29">
          <cell r="AA29">
            <v>471.842601816522</v>
          </cell>
          <cell r="AC29">
            <v>47.184260181652206</v>
          </cell>
          <cell r="AE29">
            <v>35</v>
          </cell>
          <cell r="AF29">
            <v>1.6851521493447217</v>
          </cell>
          <cell r="AG29">
            <v>36.685152149344724</v>
          </cell>
        </row>
        <row r="30">
          <cell r="AA30">
            <v>495.4421401609452</v>
          </cell>
          <cell r="AC30">
            <v>49.54421401609452</v>
          </cell>
          <cell r="AE30">
            <v>23.333333333333332</v>
          </cell>
          <cell r="AF30">
            <v>1.7694362148605187</v>
          </cell>
          <cell r="AG30">
            <v>25.10276954819385</v>
          </cell>
        </row>
        <row r="31">
          <cell r="AA31">
            <v>519.0416785053685</v>
          </cell>
          <cell r="AC31">
            <v>51.90416785053685</v>
          </cell>
          <cell r="AE31">
            <v>17.5</v>
          </cell>
          <cell r="AF31">
            <v>1.8537202803763162</v>
          </cell>
          <cell r="AG31">
            <v>19.353720280376315</v>
          </cell>
        </row>
        <row r="32">
          <cell r="AA32">
            <v>542.6412168497918</v>
          </cell>
          <cell r="AC32">
            <v>54.26412168497919</v>
          </cell>
          <cell r="AE32">
            <v>14</v>
          </cell>
          <cell r="AF32">
            <v>1.938004345892114</v>
          </cell>
          <cell r="AG32">
            <v>15.938004345892114</v>
          </cell>
        </row>
        <row r="33">
          <cell r="AA33">
            <v>566.240755194215</v>
          </cell>
          <cell r="AC33">
            <v>56.6240755194215</v>
          </cell>
          <cell r="AE33">
            <v>11.666666666666666</v>
          </cell>
          <cell r="AF33">
            <v>2.022288411407911</v>
          </cell>
          <cell r="AG33">
            <v>13.688955078074578</v>
          </cell>
        </row>
        <row r="34">
          <cell r="AA34">
            <v>589.8402935386383</v>
          </cell>
          <cell r="AC34">
            <v>58.98402935386383</v>
          </cell>
          <cell r="AE34">
            <v>10</v>
          </cell>
          <cell r="AF34">
            <v>2.1065724769237084</v>
          </cell>
          <cell r="AG34">
            <v>12.10657247692371</v>
          </cell>
        </row>
        <row r="35">
          <cell r="I35">
            <v>0</v>
          </cell>
          <cell r="J35">
            <v>1860</v>
          </cell>
          <cell r="K35">
            <v>100</v>
          </cell>
          <cell r="L35">
            <v>4.444444444444445</v>
          </cell>
          <cell r="AA35">
            <v>613.4398318830615</v>
          </cell>
          <cell r="AC35">
            <v>61.343983188306154</v>
          </cell>
          <cell r="AE35">
            <v>8.75</v>
          </cell>
          <cell r="AF35">
            <v>2.1908565424395054</v>
          </cell>
          <cell r="AG35">
            <v>10.940856542439505</v>
          </cell>
        </row>
        <row r="36">
          <cell r="AC36">
            <v>63.7039370227485</v>
          </cell>
          <cell r="AE36">
            <v>7.777777777777778</v>
          </cell>
          <cell r="AF36">
            <v>2.2751406079553034</v>
          </cell>
          <cell r="AG36">
            <v>10.052918385733081</v>
          </cell>
        </row>
        <row r="37">
          <cell r="AC37">
            <v>66.06389085719081</v>
          </cell>
          <cell r="AE37">
            <v>7</v>
          </cell>
          <cell r="AF37">
            <v>2.3594246734711004</v>
          </cell>
          <cell r="AG37">
            <v>9.3594246734711</v>
          </cell>
        </row>
        <row r="38">
          <cell r="AC38">
            <v>68.42384469163315</v>
          </cell>
          <cell r="AE38">
            <v>6.363636363636363</v>
          </cell>
          <cell r="AF38">
            <v>2.4437087389868983</v>
          </cell>
          <cell r="AG38">
            <v>8.807345102623263</v>
          </cell>
        </row>
        <row r="39">
          <cell r="AC39">
            <v>70.78379852607547</v>
          </cell>
          <cell r="AE39">
            <v>5.833333333333333</v>
          </cell>
          <cell r="AF39">
            <v>2.5279928045026954</v>
          </cell>
          <cell r="AG39">
            <v>8.361326137836029</v>
          </cell>
        </row>
        <row r="40">
          <cell r="AC40">
            <v>73.14375236051782</v>
          </cell>
          <cell r="AE40">
            <v>5.384615384615385</v>
          </cell>
          <cell r="AF40">
            <v>2.6122768700184937</v>
          </cell>
          <cell r="AG40">
            <v>7.996892254633879</v>
          </cell>
        </row>
        <row r="41">
          <cell r="AC41">
            <v>75.5037061949601</v>
          </cell>
          <cell r="AE41">
            <v>5</v>
          </cell>
          <cell r="AF41">
            <v>2.6965609355342894</v>
          </cell>
          <cell r="AG41">
            <v>7.69656093553429</v>
          </cell>
        </row>
        <row r="42">
          <cell r="AC42">
            <v>77.86366002940247</v>
          </cell>
          <cell r="AE42">
            <v>4.666666666666667</v>
          </cell>
          <cell r="AF42">
            <v>2.7808450010500882</v>
          </cell>
          <cell r="AG42">
            <v>7.447511667716755</v>
          </cell>
        </row>
        <row r="43">
          <cell r="AC43">
            <v>80.22361386384478</v>
          </cell>
          <cell r="AE43">
            <v>4.375</v>
          </cell>
          <cell r="AF43">
            <v>2.865129066565885</v>
          </cell>
          <cell r="AG43">
            <v>7.240129066565885</v>
          </cell>
        </row>
        <row r="44">
          <cell r="AC44">
            <v>82.58356769828711</v>
          </cell>
          <cell r="AE44">
            <v>4.117647058823529</v>
          </cell>
          <cell r="AF44">
            <v>2.9494131320816828</v>
          </cell>
          <cell r="AG44">
            <v>7.067060190905211</v>
          </cell>
        </row>
        <row r="45">
          <cell r="AC45">
            <v>84.94352153272942</v>
          </cell>
          <cell r="AE45">
            <v>3.888888888888889</v>
          </cell>
          <cell r="AF45">
            <v>3.0336971975974794</v>
          </cell>
          <cell r="AG45">
            <v>6.922586086486368</v>
          </cell>
        </row>
        <row r="46">
          <cell r="AC46">
            <v>87.30347536717176</v>
          </cell>
          <cell r="AE46">
            <v>3.6842105263157894</v>
          </cell>
          <cell r="AF46">
            <v>3.117981263113277</v>
          </cell>
          <cell r="AG46">
            <v>6.802191789429067</v>
          </cell>
        </row>
        <row r="47">
          <cell r="AC47">
            <v>89.66342920161406</v>
          </cell>
          <cell r="AE47">
            <v>3.5</v>
          </cell>
          <cell r="AF47">
            <v>3.202265328629074</v>
          </cell>
          <cell r="AG47">
            <v>6.702265328629074</v>
          </cell>
        </row>
        <row r="48">
          <cell r="AC48">
            <v>92.0233830360564</v>
          </cell>
          <cell r="AE48">
            <v>3.3333333333333335</v>
          </cell>
          <cell r="AF48">
            <v>3.2865493941448713</v>
          </cell>
          <cell r="AG48">
            <v>6.619882727478204</v>
          </cell>
        </row>
        <row r="49">
          <cell r="AC49">
            <v>94.38333687049872</v>
          </cell>
          <cell r="AE49">
            <v>3.1818181818181817</v>
          </cell>
          <cell r="AF49">
            <v>3.370833459660669</v>
          </cell>
          <cell r="AG49">
            <v>6.5526516414788505</v>
          </cell>
        </row>
        <row r="50">
          <cell r="AC50">
            <v>96.74329070494105</v>
          </cell>
          <cell r="AE50">
            <v>3.0434782608695654</v>
          </cell>
          <cell r="AF50">
            <v>3.455117525176466</v>
          </cell>
          <cell r="AG50">
            <v>6.498595786046032</v>
          </cell>
        </row>
        <row r="51">
          <cell r="AC51">
            <v>99.1032445393834</v>
          </cell>
          <cell r="AE51">
            <v>2.9166666666666665</v>
          </cell>
          <cell r="AF51">
            <v>3.5394015906922642</v>
          </cell>
          <cell r="AG51">
            <v>6.456068257358931</v>
          </cell>
        </row>
        <row r="52">
          <cell r="AC52">
            <v>101.46319837382572</v>
          </cell>
          <cell r="AE52">
            <v>2.8</v>
          </cell>
          <cell r="AF52">
            <v>3.6236856562080613</v>
          </cell>
          <cell r="AG52">
            <v>6.423685656208061</v>
          </cell>
        </row>
        <row r="53">
          <cell r="AC53">
            <v>103.82315220826807</v>
          </cell>
          <cell r="AE53">
            <v>2.6923076923076925</v>
          </cell>
          <cell r="AF53">
            <v>3.7079697217238596</v>
          </cell>
          <cell r="AG53">
            <v>6.400277414031552</v>
          </cell>
        </row>
        <row r="54">
          <cell r="AC54">
            <v>106.18310604271039</v>
          </cell>
          <cell r="AE54">
            <v>2.5925925925925926</v>
          </cell>
          <cell r="AF54">
            <v>3.7922537872396567</v>
          </cell>
          <cell r="AG54">
            <v>6.384846379832249</v>
          </cell>
        </row>
        <row r="55">
          <cell r="AC55">
            <v>108.5430598771527</v>
          </cell>
          <cell r="AE55">
            <v>2.5</v>
          </cell>
          <cell r="AF55">
            <v>3.8765378527554537</v>
          </cell>
          <cell r="AG55">
            <v>6.376537852755454</v>
          </cell>
        </row>
        <row r="56">
          <cell r="AC56">
            <v>110.90301371159507</v>
          </cell>
          <cell r="AE56">
            <v>2.413793103448276</v>
          </cell>
          <cell r="AF56">
            <v>3.9608219182712525</v>
          </cell>
          <cell r="AG56">
            <v>6.374615021719528</v>
          </cell>
        </row>
        <row r="57">
          <cell r="AC57">
            <v>113.26296754603742</v>
          </cell>
          <cell r="AE57">
            <v>2.3333333333333335</v>
          </cell>
          <cell r="AF57">
            <v>4.04510598378705</v>
          </cell>
          <cell r="AG57">
            <v>6.3784393171203835</v>
          </cell>
        </row>
        <row r="58">
          <cell r="AC58">
            <v>115.62292138047974</v>
          </cell>
          <cell r="AE58">
            <v>2.2580645161290325</v>
          </cell>
          <cell r="AF58">
            <v>4.129390049302848</v>
          </cell>
          <cell r="AG58">
            <v>6.387454565431881</v>
          </cell>
        </row>
        <row r="59">
          <cell r="AC59">
            <v>117.98287521492207</v>
          </cell>
          <cell r="AE59">
            <v>2.1875</v>
          </cell>
          <cell r="AF59">
            <v>4.213674114818645</v>
          </cell>
          <cell r="AG59">
            <v>6.401174114818645</v>
          </cell>
        </row>
        <row r="60">
          <cell r="AC60">
            <v>120.34282904936441</v>
          </cell>
          <cell r="AE60">
            <v>2.121212121212121</v>
          </cell>
          <cell r="AF60">
            <v>4.297958180334443</v>
          </cell>
          <cell r="AG60">
            <v>6.419170301546564</v>
          </cell>
        </row>
        <row r="61">
          <cell r="AC61">
            <v>122.70278288380676</v>
          </cell>
          <cell r="AE61">
            <v>2.0588235294117645</v>
          </cell>
          <cell r="AF61">
            <v>4.382242245850241</v>
          </cell>
          <cell r="AG61">
            <v>6.441065775262006</v>
          </cell>
        </row>
        <row r="62">
          <cell r="AC62">
            <v>125.06273671824908</v>
          </cell>
          <cell r="AE62">
            <v>2</v>
          </cell>
          <cell r="AF62">
            <v>4.466526311366039</v>
          </cell>
          <cell r="AG62">
            <v>6.466526311366039</v>
          </cell>
        </row>
        <row r="63">
          <cell r="AC63">
            <v>127.42269055269142</v>
          </cell>
          <cell r="AE63">
            <v>1.9444444444444444</v>
          </cell>
          <cell r="AF63">
            <v>4.550810376881836</v>
          </cell>
          <cell r="AG63">
            <v>6.495254821326281</v>
          </cell>
        </row>
        <row r="64">
          <cell r="AC64">
            <v>129.78264438713376</v>
          </cell>
          <cell r="AE64">
            <v>1.8918918918918919</v>
          </cell>
          <cell r="AF64">
            <v>4.635094442397635</v>
          </cell>
          <cell r="AG64">
            <v>6.526986334289527</v>
          </cell>
        </row>
        <row r="65">
          <cell r="AC65">
            <v>132.1425982215761</v>
          </cell>
          <cell r="AE65">
            <v>1.8421052631578947</v>
          </cell>
          <cell r="AF65">
            <v>4.719378507913432</v>
          </cell>
          <cell r="AG65">
            <v>6.561483771071327</v>
          </cell>
        </row>
        <row r="66">
          <cell r="AC66">
            <v>134.50255205601843</v>
          </cell>
          <cell r="AE66">
            <v>1.794871794871795</v>
          </cell>
          <cell r="AF66">
            <v>4.8036625734292295</v>
          </cell>
          <cell r="AG66">
            <v>6.598534368301024</v>
          </cell>
        </row>
        <row r="67">
          <cell r="AC67">
            <v>136.86250589046077</v>
          </cell>
          <cell r="AE67">
            <v>1.75</v>
          </cell>
          <cell r="AF67">
            <v>4.887946638945027</v>
          </cell>
          <cell r="AG67">
            <v>6.637946638945027</v>
          </cell>
        </row>
        <row r="68">
          <cell r="AC68">
            <v>139.2224597249031</v>
          </cell>
          <cell r="AE68">
            <v>1.7073170731707317</v>
          </cell>
          <cell r="AF68">
            <v>4.972230704460825</v>
          </cell>
          <cell r="AG68">
            <v>6.679547777631557</v>
          </cell>
        </row>
        <row r="69">
          <cell r="AC69">
            <v>141.58241355934544</v>
          </cell>
          <cell r="AE69">
            <v>1.6666666666666667</v>
          </cell>
          <cell r="AF69">
            <v>5.056514769976623</v>
          </cell>
          <cell r="AG69">
            <v>6.72318143664329</v>
          </cell>
        </row>
        <row r="70">
          <cell r="AC70">
            <v>143.94236739378778</v>
          </cell>
          <cell r="AE70">
            <v>1.627906976744186</v>
          </cell>
          <cell r="AF70">
            <v>5.14079883549242</v>
          </cell>
          <cell r="AG70">
            <v>6.768705812236607</v>
          </cell>
        </row>
        <row r="71">
          <cell r="I71">
            <v>0</v>
          </cell>
          <cell r="J71">
            <v>1860</v>
          </cell>
          <cell r="K71">
            <v>100</v>
          </cell>
          <cell r="L71">
            <v>4.444444444444445</v>
          </cell>
          <cell r="AC71">
            <v>146.30232122823014</v>
          </cell>
          <cell r="AE71">
            <v>1.5909090909090908</v>
          </cell>
          <cell r="AF71">
            <v>5.22508290100822</v>
          </cell>
          <cell r="AG71">
            <v>6.81599199191731</v>
          </cell>
        </row>
        <row r="72">
          <cell r="AA72">
            <v>1486.6227506267244</v>
          </cell>
          <cell r="AC72">
            <v>148.66227506267245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L98"/>
  <sheetViews>
    <sheetView defaultGridColor="0" zoomScale="75" zoomScaleNormal="75" zoomScalePageLayoutView="0" colorId="22" workbookViewId="0" topLeftCell="O11">
      <selection activeCell="T24" sqref="T24"/>
    </sheetView>
  </sheetViews>
  <sheetFormatPr defaultColWidth="11" defaultRowHeight="19.5"/>
  <cols>
    <col min="1" max="1" width="15.69921875" style="1" customWidth="1"/>
    <col min="2" max="2" width="8.69921875" style="46" customWidth="1"/>
    <col min="3" max="14" width="12.69921875" style="40" customWidth="1"/>
    <col min="15" max="15" width="12.69921875" style="60" customWidth="1"/>
    <col min="16" max="19" width="12.69921875" style="66" customWidth="1"/>
    <col min="20" max="30" width="12.69921875" style="40" customWidth="1"/>
    <col min="31" max="38" width="12.69921875" style="60" customWidth="1"/>
    <col min="39" max="16384" width="11" style="1" customWidth="1"/>
  </cols>
  <sheetData>
    <row r="1" spans="2:38" s="29" customFormat="1" ht="138.75" customHeight="1">
      <c r="B1" s="35"/>
      <c r="C1" s="36"/>
      <c r="D1" s="36"/>
      <c r="E1" s="37"/>
      <c r="F1" s="37"/>
      <c r="G1" s="37"/>
      <c r="H1" s="37"/>
      <c r="I1" s="37"/>
      <c r="J1" s="37"/>
      <c r="K1" s="37"/>
      <c r="L1" s="37"/>
      <c r="M1" s="37"/>
      <c r="N1" s="37"/>
      <c r="O1" s="74"/>
      <c r="P1" s="71"/>
      <c r="Q1" s="71"/>
      <c r="R1" s="71"/>
      <c r="S1" s="71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74"/>
      <c r="AF1" s="74"/>
      <c r="AG1" s="74"/>
      <c r="AH1" s="74"/>
      <c r="AI1" s="74"/>
      <c r="AJ1" s="74"/>
      <c r="AK1" s="74"/>
      <c r="AL1" s="74"/>
    </row>
    <row r="2" spans="1:4" ht="19.5" customHeight="1">
      <c r="A2" s="4" t="s">
        <v>10</v>
      </c>
      <c r="B2" s="38"/>
      <c r="C2" s="39"/>
      <c r="D2" s="39"/>
    </row>
    <row r="3" spans="1:4" ht="19.5" customHeight="1">
      <c r="A3" s="4" t="s">
        <v>11</v>
      </c>
      <c r="B3" s="38"/>
      <c r="C3" s="39"/>
      <c r="D3" s="39"/>
    </row>
    <row r="4" spans="1:5" ht="18">
      <c r="A4" s="6" t="s">
        <v>0</v>
      </c>
      <c r="B4" s="41"/>
      <c r="C4" s="39"/>
      <c r="D4" s="39"/>
      <c r="E4" s="39"/>
    </row>
    <row r="5" spans="1:38" s="11" customFormat="1" ht="18">
      <c r="A5" s="7" t="s">
        <v>5</v>
      </c>
      <c r="B5" s="176">
        <v>40030</v>
      </c>
      <c r="C5" s="177"/>
      <c r="D5" s="177"/>
      <c r="E5" s="177"/>
      <c r="F5" s="8"/>
      <c r="G5" s="8"/>
      <c r="H5" s="8"/>
      <c r="I5" s="8"/>
      <c r="J5" s="8"/>
      <c r="K5" s="8"/>
      <c r="L5" s="8"/>
      <c r="M5" s="8"/>
      <c r="N5" s="8"/>
      <c r="O5" s="68"/>
      <c r="P5" s="10"/>
      <c r="Q5" s="10"/>
      <c r="R5" s="10"/>
      <c r="S5" s="10"/>
      <c r="T5" s="8"/>
      <c r="U5" s="8"/>
      <c r="V5" s="43"/>
      <c r="W5" s="43"/>
      <c r="X5" s="43"/>
      <c r="Y5" s="43"/>
      <c r="Z5" s="43"/>
      <c r="AA5" s="43"/>
      <c r="AB5" s="43"/>
      <c r="AC5" s="43"/>
      <c r="AD5" s="43"/>
      <c r="AE5" s="75"/>
      <c r="AF5" s="75"/>
      <c r="AG5" s="75"/>
      <c r="AH5" s="75"/>
      <c r="AI5" s="75"/>
      <c r="AJ5" s="75"/>
      <c r="AK5" s="75"/>
      <c r="AL5" s="75"/>
    </row>
    <row r="6" spans="1:38" s="11" customFormat="1" ht="18">
      <c r="A6" s="7" t="s">
        <v>1</v>
      </c>
      <c r="B6" s="27" t="s">
        <v>91</v>
      </c>
      <c r="C6" s="27"/>
      <c r="D6" s="27"/>
      <c r="E6" s="27"/>
      <c r="F6" s="8"/>
      <c r="G6" s="8"/>
      <c r="H6" s="8"/>
      <c r="I6" s="8"/>
      <c r="J6" s="8"/>
      <c r="K6" s="8"/>
      <c r="L6" s="8"/>
      <c r="M6" s="8"/>
      <c r="N6" s="8"/>
      <c r="O6" s="68"/>
      <c r="P6" s="10"/>
      <c r="Q6" s="10"/>
      <c r="R6" s="10"/>
      <c r="S6" s="10"/>
      <c r="T6" s="8"/>
      <c r="U6" s="8"/>
      <c r="V6" s="43"/>
      <c r="W6" s="43"/>
      <c r="X6" s="43"/>
      <c r="Y6" s="43"/>
      <c r="Z6" s="43"/>
      <c r="AA6" s="43"/>
      <c r="AB6" s="43"/>
      <c r="AC6" s="43"/>
      <c r="AD6" s="43"/>
      <c r="AE6" s="75"/>
      <c r="AF6" s="75"/>
      <c r="AG6" s="75"/>
      <c r="AH6" s="75"/>
      <c r="AI6" s="75"/>
      <c r="AJ6" s="75"/>
      <c r="AK6" s="75"/>
      <c r="AL6" s="75"/>
    </row>
    <row r="7" spans="1:38" s="11" customFormat="1" ht="18">
      <c r="A7" s="7" t="s">
        <v>2</v>
      </c>
      <c r="B7" s="27" t="s">
        <v>7</v>
      </c>
      <c r="C7" s="27"/>
      <c r="D7" s="27"/>
      <c r="E7" s="27"/>
      <c r="F7" s="8"/>
      <c r="G7" s="8"/>
      <c r="H7" s="8"/>
      <c r="I7" s="8"/>
      <c r="J7" s="8"/>
      <c r="K7" s="8"/>
      <c r="L7" s="8"/>
      <c r="M7" s="8"/>
      <c r="N7" s="8"/>
      <c r="O7" s="68"/>
      <c r="P7" s="10"/>
      <c r="Q7" s="10"/>
      <c r="R7" s="10"/>
      <c r="S7" s="10"/>
      <c r="T7" s="8"/>
      <c r="U7" s="8"/>
      <c r="V7" s="43"/>
      <c r="W7" s="43"/>
      <c r="X7" s="43"/>
      <c r="Y7" s="43"/>
      <c r="Z7" s="43"/>
      <c r="AA7" s="43"/>
      <c r="AB7" s="43"/>
      <c r="AC7" s="43"/>
      <c r="AD7" s="43"/>
      <c r="AE7" s="75"/>
      <c r="AF7" s="75"/>
      <c r="AG7" s="75"/>
      <c r="AH7" s="75"/>
      <c r="AI7" s="75"/>
      <c r="AJ7" s="75"/>
      <c r="AK7" s="75"/>
      <c r="AL7" s="75"/>
    </row>
    <row r="8" spans="1:38" s="11" customFormat="1" ht="18">
      <c r="A8" s="7" t="s">
        <v>3</v>
      </c>
      <c r="B8" s="27" t="s">
        <v>18</v>
      </c>
      <c r="C8" s="27"/>
      <c r="D8" s="27"/>
      <c r="E8" s="27"/>
      <c r="F8" s="8"/>
      <c r="G8" s="8"/>
      <c r="H8" s="8"/>
      <c r="I8" s="8"/>
      <c r="J8" s="8"/>
      <c r="K8" s="8"/>
      <c r="L8" s="8"/>
      <c r="M8" s="8"/>
      <c r="N8" s="8"/>
      <c r="O8" s="68"/>
      <c r="P8" s="10"/>
      <c r="Q8" s="10"/>
      <c r="R8" s="10"/>
      <c r="S8" s="10"/>
      <c r="T8" s="8"/>
      <c r="U8" s="8"/>
      <c r="V8" s="43"/>
      <c r="W8" s="43"/>
      <c r="X8" s="43"/>
      <c r="Y8" s="43"/>
      <c r="Z8" s="43"/>
      <c r="AA8" s="43"/>
      <c r="AB8" s="43"/>
      <c r="AC8" s="43"/>
      <c r="AD8" s="43"/>
      <c r="AE8" s="75"/>
      <c r="AF8" s="75"/>
      <c r="AG8" s="75"/>
      <c r="AH8" s="75"/>
      <c r="AI8" s="75"/>
      <c r="AJ8" s="75"/>
      <c r="AK8" s="75"/>
      <c r="AL8" s="75"/>
    </row>
    <row r="9" spans="1:38" s="11" customFormat="1" ht="18">
      <c r="A9" s="12" t="s">
        <v>4</v>
      </c>
      <c r="B9" s="27"/>
      <c r="C9" s="27"/>
      <c r="D9" s="27"/>
      <c r="E9" s="27"/>
      <c r="F9" s="8" t="s">
        <v>13</v>
      </c>
      <c r="G9" s="8" t="s">
        <v>77</v>
      </c>
      <c r="H9" s="8" t="s">
        <v>78</v>
      </c>
      <c r="I9" s="8" t="s">
        <v>81</v>
      </c>
      <c r="J9" s="8" t="s">
        <v>82</v>
      </c>
      <c r="K9" s="8" t="s">
        <v>79</v>
      </c>
      <c r="L9" s="179" t="s">
        <v>80</v>
      </c>
      <c r="M9" s="179"/>
      <c r="N9" s="179"/>
      <c r="O9" s="179"/>
      <c r="P9" s="10"/>
      <c r="Q9" s="10"/>
      <c r="R9" s="10"/>
      <c r="S9" s="10"/>
      <c r="T9" s="8"/>
      <c r="U9" s="8"/>
      <c r="V9" s="43"/>
      <c r="W9" s="43"/>
      <c r="X9" s="43"/>
      <c r="Y9" s="43"/>
      <c r="Z9" s="43"/>
      <c r="AA9" s="43"/>
      <c r="AB9" s="43"/>
      <c r="AC9" s="43"/>
      <c r="AD9" s="43"/>
      <c r="AE9" s="75"/>
      <c r="AF9" s="75"/>
      <c r="AG9" s="75"/>
      <c r="AH9" s="75"/>
      <c r="AI9" s="75"/>
      <c r="AJ9" s="75"/>
      <c r="AK9" s="75"/>
      <c r="AL9" s="75"/>
    </row>
    <row r="10" spans="1:38" s="11" customFormat="1" ht="18">
      <c r="A10" s="14">
        <v>1</v>
      </c>
      <c r="B10" s="183" t="s">
        <v>75</v>
      </c>
      <c r="C10" s="184"/>
      <c r="D10" s="184"/>
      <c r="E10" s="184"/>
      <c r="F10" s="152">
        <v>20</v>
      </c>
      <c r="G10" s="153">
        <v>4.4</v>
      </c>
      <c r="H10" s="153">
        <v>2</v>
      </c>
      <c r="I10" s="154">
        <v>0.024691358024691357</v>
      </c>
      <c r="J10" s="153">
        <v>0</v>
      </c>
      <c r="K10" s="154" t="s">
        <v>88</v>
      </c>
      <c r="L10" s="185" t="s">
        <v>90</v>
      </c>
      <c r="M10" s="185"/>
      <c r="N10" s="185"/>
      <c r="O10" s="185"/>
      <c r="P10" s="10"/>
      <c r="Q10" s="10"/>
      <c r="R10" s="10"/>
      <c r="S10" s="10"/>
      <c r="T10" s="8"/>
      <c r="U10" s="8"/>
      <c r="V10" s="43"/>
      <c r="W10" s="43"/>
      <c r="X10" s="43"/>
      <c r="Y10" s="43"/>
      <c r="Z10" s="43"/>
      <c r="AA10" s="43"/>
      <c r="AB10" s="43"/>
      <c r="AC10" s="43"/>
      <c r="AD10" s="43"/>
      <c r="AE10" s="75"/>
      <c r="AF10" s="75"/>
      <c r="AG10" s="75"/>
      <c r="AH10" s="75"/>
      <c r="AI10" s="75"/>
      <c r="AJ10" s="75"/>
      <c r="AK10" s="75"/>
      <c r="AL10" s="75"/>
    </row>
    <row r="11" spans="1:38" s="11" customFormat="1" ht="18">
      <c r="A11" s="14">
        <f>A10+1</f>
        <v>2</v>
      </c>
      <c r="B11" s="183" t="s">
        <v>76</v>
      </c>
      <c r="C11" s="184"/>
      <c r="D11" s="184"/>
      <c r="E11" s="184"/>
      <c r="F11" s="152">
        <v>20</v>
      </c>
      <c r="G11" s="153">
        <v>27.16</v>
      </c>
      <c r="H11" s="153">
        <v>5</v>
      </c>
      <c r="I11" s="154">
        <f>(24*24*18)/46656</f>
        <v>0.2222222222222222</v>
      </c>
      <c r="J11" s="153">
        <v>0</v>
      </c>
      <c r="K11" s="154" t="s">
        <v>88</v>
      </c>
      <c r="L11" s="185" t="s">
        <v>89</v>
      </c>
      <c r="M11" s="185"/>
      <c r="N11" s="185"/>
      <c r="O11" s="185"/>
      <c r="P11" s="10"/>
      <c r="Q11" s="10"/>
      <c r="R11" s="10"/>
      <c r="S11" s="10"/>
      <c r="T11" s="8"/>
      <c r="U11" s="8"/>
      <c r="V11" s="43"/>
      <c r="W11" s="43"/>
      <c r="X11" s="43"/>
      <c r="Y11" s="43"/>
      <c r="Z11" s="43"/>
      <c r="AA11" s="43"/>
      <c r="AB11" s="43"/>
      <c r="AC11" s="43"/>
      <c r="AD11" s="43"/>
      <c r="AE11" s="75"/>
      <c r="AF11" s="75"/>
      <c r="AG11" s="75"/>
      <c r="AH11" s="75"/>
      <c r="AI11" s="75"/>
      <c r="AJ11" s="75"/>
      <c r="AK11" s="75"/>
      <c r="AL11" s="75"/>
    </row>
    <row r="12" spans="1:38" s="11" customFormat="1" ht="18">
      <c r="A12" s="14">
        <f>A11+1</f>
        <v>3</v>
      </c>
      <c r="B12" s="180" t="s">
        <v>83</v>
      </c>
      <c r="C12" s="181"/>
      <c r="D12" s="181"/>
      <c r="E12" s="181"/>
      <c r="F12" s="181"/>
      <c r="G12" s="67"/>
      <c r="H12" s="8"/>
      <c r="I12" s="8"/>
      <c r="J12" s="8"/>
      <c r="K12" s="8"/>
      <c r="L12" s="8"/>
      <c r="M12" s="8"/>
      <c r="N12" s="8"/>
      <c r="O12" s="68"/>
      <c r="P12" s="10"/>
      <c r="Q12" s="10"/>
      <c r="R12" s="10"/>
      <c r="S12" s="10"/>
      <c r="T12" s="8"/>
      <c r="U12" s="8"/>
      <c r="V12" s="43"/>
      <c r="W12" s="43"/>
      <c r="X12" s="43"/>
      <c r="Y12" s="43"/>
      <c r="Z12" s="43"/>
      <c r="AA12" s="43"/>
      <c r="AB12" s="43"/>
      <c r="AC12" s="43"/>
      <c r="AD12" s="43"/>
      <c r="AE12" s="75"/>
      <c r="AF12" s="75"/>
      <c r="AG12" s="75"/>
      <c r="AH12" s="75"/>
      <c r="AI12" s="75"/>
      <c r="AJ12" s="75"/>
      <c r="AK12" s="75"/>
      <c r="AL12" s="75"/>
    </row>
    <row r="13" spans="1:38" s="11" customFormat="1" ht="18">
      <c r="A13" s="14">
        <f>A12+1</f>
        <v>4</v>
      </c>
      <c r="C13" s="186" t="s">
        <v>84</v>
      </c>
      <c r="D13" s="187"/>
      <c r="E13" s="187"/>
      <c r="F13" s="187"/>
      <c r="G13" s="67"/>
      <c r="H13" s="8"/>
      <c r="I13" s="8"/>
      <c r="J13" s="8"/>
      <c r="K13" s="8"/>
      <c r="L13" s="8"/>
      <c r="M13" s="8"/>
      <c r="N13" s="8"/>
      <c r="O13" s="68"/>
      <c r="P13" s="10"/>
      <c r="Q13" s="10"/>
      <c r="R13" s="10"/>
      <c r="S13" s="10"/>
      <c r="T13" s="8"/>
      <c r="U13" s="8"/>
      <c r="V13" s="43"/>
      <c r="W13" s="43"/>
      <c r="X13" s="43"/>
      <c r="Y13" s="43"/>
      <c r="Z13" s="43"/>
      <c r="AA13" s="43"/>
      <c r="AB13" s="43"/>
      <c r="AC13" s="43"/>
      <c r="AD13" s="43"/>
      <c r="AE13" s="75"/>
      <c r="AF13" s="75"/>
      <c r="AG13" s="75"/>
      <c r="AH13" s="75"/>
      <c r="AI13" s="75"/>
      <c r="AJ13" s="75"/>
      <c r="AK13" s="75"/>
      <c r="AL13" s="75"/>
    </row>
    <row r="14" spans="1:38" s="11" customFormat="1" ht="18">
      <c r="A14" s="14">
        <v>5</v>
      </c>
      <c r="B14" s="27" t="s">
        <v>87</v>
      </c>
      <c r="C14" s="27"/>
      <c r="D14" s="27"/>
      <c r="E14" s="27"/>
      <c r="F14" s="8"/>
      <c r="G14" s="8"/>
      <c r="H14" s="8"/>
      <c r="I14" s="8"/>
      <c r="J14" s="8"/>
      <c r="K14" s="8"/>
      <c r="L14" s="8"/>
      <c r="M14" s="8"/>
      <c r="N14" s="8"/>
      <c r="O14" s="68"/>
      <c r="P14" s="10"/>
      <c r="Q14" s="10"/>
      <c r="R14" s="10"/>
      <c r="S14" s="10"/>
      <c r="T14" s="8"/>
      <c r="U14" s="8"/>
      <c r="V14" s="43"/>
      <c r="W14" s="43"/>
      <c r="X14" s="43"/>
      <c r="Y14" s="43"/>
      <c r="Z14" s="43"/>
      <c r="AA14" s="43"/>
      <c r="AB14" s="43"/>
      <c r="AC14" s="43"/>
      <c r="AD14" s="43"/>
      <c r="AE14" s="75"/>
      <c r="AF14" s="75"/>
      <c r="AG14" s="75"/>
      <c r="AH14" s="75"/>
      <c r="AI14" s="75"/>
      <c r="AJ14" s="75"/>
      <c r="AK14" s="75"/>
      <c r="AL14" s="75"/>
    </row>
    <row r="15" spans="1:38" s="11" customFormat="1" ht="18">
      <c r="A15" s="14">
        <v>6</v>
      </c>
      <c r="B15" s="27" t="s">
        <v>9</v>
      </c>
      <c r="C15" s="27"/>
      <c r="D15" s="27"/>
      <c r="E15" s="27"/>
      <c r="F15" s="8"/>
      <c r="G15" s="8"/>
      <c r="H15" s="8"/>
      <c r="I15" s="8"/>
      <c r="J15" s="8"/>
      <c r="K15" s="8"/>
      <c r="L15" s="8"/>
      <c r="M15" s="8"/>
      <c r="N15" s="8"/>
      <c r="O15" s="68"/>
      <c r="P15" s="10"/>
      <c r="Q15" s="10"/>
      <c r="R15" s="10"/>
      <c r="S15" s="10"/>
      <c r="T15" s="8"/>
      <c r="U15" s="8"/>
      <c r="V15" s="43"/>
      <c r="W15" s="43"/>
      <c r="X15" s="43"/>
      <c r="Y15" s="43"/>
      <c r="Z15" s="43"/>
      <c r="AA15" s="43"/>
      <c r="AB15" s="43"/>
      <c r="AC15" s="43"/>
      <c r="AD15" s="43"/>
      <c r="AE15" s="75">
        <f>12*28*AE35</f>
        <v>771.2</v>
      </c>
      <c r="AF15" s="75"/>
      <c r="AG15" s="75"/>
      <c r="AH15" s="75"/>
      <c r="AI15" s="75"/>
      <c r="AJ15" s="75"/>
      <c r="AK15" s="75"/>
      <c r="AL15" s="75"/>
    </row>
    <row r="16" spans="1:38" s="11" customFormat="1" ht="18">
      <c r="A16" s="14">
        <v>7</v>
      </c>
      <c r="B16" s="180" t="s">
        <v>9</v>
      </c>
      <c r="C16" s="181"/>
      <c r="D16" s="181"/>
      <c r="E16" s="181"/>
      <c r="F16" s="181"/>
      <c r="G16" s="8"/>
      <c r="H16" s="8"/>
      <c r="I16" s="8"/>
      <c r="J16" s="8"/>
      <c r="K16" s="8"/>
      <c r="L16" s="8"/>
      <c r="M16" s="8"/>
      <c r="N16" s="8"/>
      <c r="O16" s="68"/>
      <c r="P16" s="10"/>
      <c r="Q16" s="10"/>
      <c r="R16" s="10"/>
      <c r="S16" s="10"/>
      <c r="T16" s="8"/>
      <c r="U16" s="8"/>
      <c r="V16" s="43"/>
      <c r="W16" s="43"/>
      <c r="X16" s="43"/>
      <c r="Y16" s="43"/>
      <c r="Z16" s="43"/>
      <c r="AA16" s="43"/>
      <c r="AB16" s="43"/>
      <c r="AC16" s="43"/>
      <c r="AD16" s="43"/>
      <c r="AE16" s="75"/>
      <c r="AF16" s="75"/>
      <c r="AG16" s="75"/>
      <c r="AH16" s="75"/>
      <c r="AI16" s="75"/>
      <c r="AJ16" s="75"/>
      <c r="AK16" s="75"/>
      <c r="AL16" s="75"/>
    </row>
    <row r="17" spans="1:38" s="11" customFormat="1" ht="18">
      <c r="A17" s="14">
        <v>8</v>
      </c>
      <c r="B17" s="180" t="s">
        <v>9</v>
      </c>
      <c r="C17" s="181"/>
      <c r="D17" s="181"/>
      <c r="E17" s="181"/>
      <c r="F17" s="181"/>
      <c r="G17" s="8"/>
      <c r="H17" s="8"/>
      <c r="I17" s="8"/>
      <c r="J17" s="8"/>
      <c r="K17" s="8"/>
      <c r="L17" s="8"/>
      <c r="M17" s="8"/>
      <c r="N17" s="8"/>
      <c r="O17" s="68"/>
      <c r="P17" s="10"/>
      <c r="Q17" s="10"/>
      <c r="R17" s="10"/>
      <c r="S17" s="10"/>
      <c r="T17" s="8"/>
      <c r="U17" s="8"/>
      <c r="V17" s="43"/>
      <c r="W17" s="43"/>
      <c r="X17" s="43"/>
      <c r="Y17" s="43"/>
      <c r="Z17" s="43"/>
      <c r="AA17" s="43"/>
      <c r="AB17" s="43"/>
      <c r="AC17" s="43"/>
      <c r="AD17" s="43"/>
      <c r="AE17" s="75"/>
      <c r="AF17" s="75"/>
      <c r="AG17" s="75"/>
      <c r="AH17" s="75"/>
      <c r="AI17" s="75"/>
      <c r="AJ17" s="75"/>
      <c r="AK17" s="75"/>
      <c r="AL17" s="75"/>
    </row>
    <row r="18" spans="1:2" ht="18">
      <c r="A18" s="15"/>
      <c r="B18" s="44"/>
    </row>
    <row r="20" spans="1:38" ht="19.5" customHeight="1">
      <c r="A20" s="16"/>
      <c r="B20" s="178" t="s">
        <v>12</v>
      </c>
      <c r="C20" s="171"/>
      <c r="D20" s="171"/>
      <c r="E20" s="171"/>
      <c r="F20" s="171"/>
      <c r="G20" s="171"/>
      <c r="H20" s="171"/>
      <c r="I20" s="172" t="s">
        <v>19</v>
      </c>
      <c r="J20" s="172"/>
      <c r="K20" s="172"/>
      <c r="L20" s="172"/>
      <c r="M20" s="172"/>
      <c r="N20" s="172"/>
      <c r="O20" s="171"/>
      <c r="P20" s="171"/>
      <c r="Q20" s="171"/>
      <c r="R20" s="171"/>
      <c r="S20" s="171"/>
      <c r="T20" s="171"/>
      <c r="U20" s="172" t="s">
        <v>26</v>
      </c>
      <c r="V20" s="171"/>
      <c r="W20" s="171"/>
      <c r="X20" s="171"/>
      <c r="Y20" s="171"/>
      <c r="Z20" s="171"/>
      <c r="AA20" s="171"/>
      <c r="AB20" s="171"/>
      <c r="AC20" s="171"/>
      <c r="AD20" s="171"/>
      <c r="AE20" s="173" t="s">
        <v>46</v>
      </c>
      <c r="AF20" s="174"/>
      <c r="AG20" s="174"/>
      <c r="AH20" s="182" t="s">
        <v>107</v>
      </c>
      <c r="AI20" s="79" t="s">
        <v>108</v>
      </c>
      <c r="AJ20" s="79"/>
      <c r="AK20" s="79"/>
      <c r="AL20" s="80"/>
    </row>
    <row r="21" spans="1:38" s="34" customFormat="1" ht="19.5" customHeight="1">
      <c r="A21" s="33"/>
      <c r="B21" s="170" t="s">
        <v>13</v>
      </c>
      <c r="C21" s="170" t="s">
        <v>14</v>
      </c>
      <c r="D21" s="170" t="s">
        <v>36</v>
      </c>
      <c r="E21" s="170" t="s">
        <v>15</v>
      </c>
      <c r="F21" s="170" t="s">
        <v>16</v>
      </c>
      <c r="G21" s="170" t="s">
        <v>17</v>
      </c>
      <c r="H21" s="170" t="s">
        <v>74</v>
      </c>
      <c r="I21" s="170" t="s">
        <v>37</v>
      </c>
      <c r="J21" s="170"/>
      <c r="K21" s="170"/>
      <c r="L21" s="170"/>
      <c r="M21" s="170"/>
      <c r="N21" s="170"/>
      <c r="O21" s="188" t="s">
        <v>86</v>
      </c>
      <c r="P21" s="168" t="s">
        <v>21</v>
      </c>
      <c r="Q21" s="169"/>
      <c r="R21" s="169"/>
      <c r="S21" s="169"/>
      <c r="T21" s="170" t="s">
        <v>25</v>
      </c>
      <c r="U21" s="170" t="s">
        <v>27</v>
      </c>
      <c r="V21" s="170" t="s">
        <v>29</v>
      </c>
      <c r="W21" s="170" t="s">
        <v>28</v>
      </c>
      <c r="X21" s="170" t="s">
        <v>31</v>
      </c>
      <c r="Y21" s="170" t="s">
        <v>30</v>
      </c>
      <c r="Z21" s="170" t="s">
        <v>32</v>
      </c>
      <c r="AA21" s="182" t="s">
        <v>33</v>
      </c>
      <c r="AB21" s="167"/>
      <c r="AC21" s="182" t="s">
        <v>35</v>
      </c>
      <c r="AD21" s="167"/>
      <c r="AE21" s="173" t="s">
        <v>48</v>
      </c>
      <c r="AF21" s="173" t="s">
        <v>47</v>
      </c>
      <c r="AG21" s="173" t="s">
        <v>34</v>
      </c>
      <c r="AH21" s="167"/>
      <c r="AI21" s="80"/>
      <c r="AJ21" s="80"/>
      <c r="AK21" s="80"/>
      <c r="AL21" s="80"/>
    </row>
    <row r="22" spans="1:38" ht="18">
      <c r="A22" s="16"/>
      <c r="B22" s="171"/>
      <c r="C22" s="171"/>
      <c r="D22" s="171"/>
      <c r="E22" s="171"/>
      <c r="F22" s="171"/>
      <c r="G22" s="171"/>
      <c r="H22" s="171"/>
      <c r="I22" s="171" t="s">
        <v>38</v>
      </c>
      <c r="J22" s="171" t="s">
        <v>39</v>
      </c>
      <c r="K22" s="167" t="s">
        <v>40</v>
      </c>
      <c r="L22" s="171" t="s">
        <v>41</v>
      </c>
      <c r="M22" s="171"/>
      <c r="N22" s="167" t="s">
        <v>43</v>
      </c>
      <c r="O22" s="189"/>
      <c r="P22" s="175" t="s">
        <v>22</v>
      </c>
      <c r="Q22" s="175" t="s">
        <v>85</v>
      </c>
      <c r="R22" s="175" t="s">
        <v>23</v>
      </c>
      <c r="S22" s="175" t="s">
        <v>24</v>
      </c>
      <c r="T22" s="171"/>
      <c r="U22" s="171"/>
      <c r="V22" s="171"/>
      <c r="W22" s="171"/>
      <c r="X22" s="171"/>
      <c r="Y22" s="171"/>
      <c r="Z22" s="171"/>
      <c r="AA22" s="182" t="s">
        <v>44</v>
      </c>
      <c r="AB22" s="182" t="s">
        <v>45</v>
      </c>
      <c r="AC22" s="172" t="s">
        <v>34</v>
      </c>
      <c r="AD22" s="182" t="s">
        <v>45</v>
      </c>
      <c r="AE22" s="174"/>
      <c r="AF22" s="174"/>
      <c r="AG22" s="174"/>
      <c r="AH22" s="167"/>
      <c r="AI22" s="167" t="s">
        <v>110</v>
      </c>
      <c r="AJ22" s="167"/>
      <c r="AK22" s="80"/>
      <c r="AL22" s="80"/>
    </row>
    <row r="23" spans="1:38" ht="39.75" customHeight="1">
      <c r="A23" s="16"/>
      <c r="B23" s="171"/>
      <c r="C23" s="171"/>
      <c r="D23" s="171"/>
      <c r="E23" s="171"/>
      <c r="F23" s="171"/>
      <c r="G23" s="171"/>
      <c r="H23" s="171"/>
      <c r="I23" s="171"/>
      <c r="J23" s="171"/>
      <c r="K23" s="167"/>
      <c r="L23" s="42" t="s">
        <v>42</v>
      </c>
      <c r="M23" s="42" t="s">
        <v>20</v>
      </c>
      <c r="N23" s="167"/>
      <c r="O23" s="189"/>
      <c r="P23" s="175"/>
      <c r="Q23" s="175"/>
      <c r="R23" s="175"/>
      <c r="S23" s="175"/>
      <c r="T23" s="171"/>
      <c r="U23" s="171"/>
      <c r="V23" s="171"/>
      <c r="W23" s="171"/>
      <c r="X23" s="171"/>
      <c r="Y23" s="171"/>
      <c r="Z23" s="171"/>
      <c r="AA23" s="182"/>
      <c r="AB23" s="182"/>
      <c r="AC23" s="172"/>
      <c r="AD23" s="182"/>
      <c r="AE23" s="174"/>
      <c r="AF23" s="174"/>
      <c r="AG23" s="174"/>
      <c r="AH23" s="167"/>
      <c r="AI23" s="80" t="s">
        <v>92</v>
      </c>
      <c r="AJ23" s="80" t="s">
        <v>109</v>
      </c>
      <c r="AK23" s="80" t="s">
        <v>95</v>
      </c>
      <c r="AL23" s="80" t="s">
        <v>108</v>
      </c>
    </row>
    <row r="24" spans="1:38" ht="18">
      <c r="A24" s="16"/>
      <c r="B24" s="46">
        <v>1</v>
      </c>
      <c r="C24" s="51">
        <v>40057</v>
      </c>
      <c r="D24" s="61">
        <f>(E24*7)+C24</f>
        <v>40085</v>
      </c>
      <c r="E24" s="52">
        <v>4</v>
      </c>
      <c r="F24" s="50">
        <f>(C24+D24)/2</f>
        <v>40071</v>
      </c>
      <c r="G24" s="54">
        <f>7*24</f>
        <v>168</v>
      </c>
      <c r="H24" s="46">
        <f>G24*E24</f>
        <v>672</v>
      </c>
      <c r="I24" s="69">
        <f>F10*G10</f>
        <v>88</v>
      </c>
      <c r="J24" s="69">
        <f>F11*G11</f>
        <v>543.2</v>
      </c>
      <c r="K24" s="69">
        <f>(F10*H10)+(F11*H11)</f>
        <v>140</v>
      </c>
      <c r="L24" s="70">
        <f>(F10*I10)+(F11*I11)</f>
        <v>4.938271604938272</v>
      </c>
      <c r="M24" s="69">
        <f>(F10*J10)+(F11*J11)</f>
        <v>0</v>
      </c>
      <c r="N24" s="53">
        <f>SUM(I24:K24)+M24</f>
        <v>771.2</v>
      </c>
      <c r="O24" s="60">
        <f aca="true" t="shared" si="0" ref="O24:O71">N24/(D24-$C$24)</f>
        <v>27.542857142857144</v>
      </c>
      <c r="P24" s="72">
        <f>'[2]Initial Fan NRG Savings Est'!$C$29+'[2]Initial Fan NRG Savings Est'!$C$31</f>
        <v>0.38</v>
      </c>
      <c r="Q24" s="72">
        <f>('Initial pressure drop'!$H$73/1000)*Data!$H$24</f>
        <v>0.03997920271416455</v>
      </c>
      <c r="R24" s="73">
        <f>P24+Q24</f>
        <v>0.41997920271416456</v>
      </c>
      <c r="S24" s="66">
        <f>AVERAGE(P24,R24)</f>
        <v>0.3999896013570823</v>
      </c>
      <c r="T24" s="54">
        <f>'[2]Initial Fan NRG Savings Est'!$C$26</f>
        <v>32000</v>
      </c>
      <c r="U24" s="56">
        <v>0.72</v>
      </c>
      <c r="V24" s="48">
        <f>(T24*S24)/(6356*U24)</f>
        <v>2.7969344895957087</v>
      </c>
      <c r="W24" s="56">
        <v>0.93</v>
      </c>
      <c r="X24" s="56">
        <v>0.95</v>
      </c>
      <c r="Y24" s="48">
        <f>V24*0.746/(W24*X24)</f>
        <v>2.3616447416393873</v>
      </c>
      <c r="Z24" s="58">
        <f>'[3]Working Table'!$D$16</f>
        <v>0.1</v>
      </c>
      <c r="AA24" s="46">
        <f>Y24*G24*E24</f>
        <v>1587.0252663816682</v>
      </c>
      <c r="AB24" s="46">
        <f>AA24/(D24-C24)</f>
        <v>56.679473799345296</v>
      </c>
      <c r="AC24" s="55">
        <f>AA24*Z24</f>
        <v>158.70252663816683</v>
      </c>
      <c r="AD24" s="55">
        <f>AC24/(D24-C24)</f>
        <v>5.66794737993453</v>
      </c>
      <c r="AE24" s="60">
        <f>O24</f>
        <v>27.542857142857144</v>
      </c>
      <c r="AF24" s="60">
        <f>AD24</f>
        <v>5.66794737993453</v>
      </c>
      <c r="AG24" s="60">
        <f>AE24+AF24</f>
        <v>33.210804522791676</v>
      </c>
      <c r="AH24" s="60">
        <f>'[4]Data'!$AG24</f>
        <v>0</v>
      </c>
      <c r="AI24" s="55">
        <f>N24+AC24</f>
        <v>929.9025266381668</v>
      </c>
      <c r="AJ24" s="55">
        <f>'[4]Data'!$N$24+'[4]Data'!$AC$24</f>
        <v>0</v>
      </c>
      <c r="AK24" s="55">
        <f>AI24-AJ24</f>
        <v>929.9025266381668</v>
      </c>
      <c r="AL24" s="55">
        <f>AK24</f>
        <v>929.9025266381668</v>
      </c>
    </row>
    <row r="25" spans="1:38" ht="18">
      <c r="A25" s="16"/>
      <c r="B25" s="46">
        <f>B24+1</f>
        <v>2</v>
      </c>
      <c r="C25" s="50">
        <f>D24</f>
        <v>40085</v>
      </c>
      <c r="D25" s="61">
        <f>(E25*7)+C25</f>
        <v>40113</v>
      </c>
      <c r="E25" s="46">
        <f>E24</f>
        <v>4</v>
      </c>
      <c r="F25" s="50">
        <f>(C25+D25)/2</f>
        <v>40099</v>
      </c>
      <c r="G25" s="46">
        <f>G24</f>
        <v>168</v>
      </c>
      <c r="H25" s="46">
        <f>G25*E25</f>
        <v>672</v>
      </c>
      <c r="I25" s="60">
        <f aca="true" t="shared" si="1" ref="I25:N25">I24</f>
        <v>88</v>
      </c>
      <c r="J25" s="60">
        <f t="shared" si="1"/>
        <v>543.2</v>
      </c>
      <c r="K25" s="60">
        <f t="shared" si="1"/>
        <v>140</v>
      </c>
      <c r="L25" s="48">
        <f t="shared" si="1"/>
        <v>4.938271604938272</v>
      </c>
      <c r="M25" s="60">
        <f t="shared" si="1"/>
        <v>0</v>
      </c>
      <c r="N25" s="55">
        <f t="shared" si="1"/>
        <v>771.2</v>
      </c>
      <c r="O25" s="60">
        <f t="shared" si="0"/>
        <v>13.771428571428572</v>
      </c>
      <c r="P25" s="71">
        <f>R24</f>
        <v>0.41997920271416456</v>
      </c>
      <c r="Q25" s="72">
        <f>('Initial pressure drop'!$H$73/1000)*Data!$H$24</f>
        <v>0.03997920271416455</v>
      </c>
      <c r="R25" s="73">
        <f aca="true" t="shared" si="2" ref="R25:R71">P25+Q25</f>
        <v>0.4599584054283291</v>
      </c>
      <c r="S25" s="66">
        <f aca="true" t="shared" si="3" ref="S25:S58">AVERAGE(P25,R25)</f>
        <v>0.43996880407124683</v>
      </c>
      <c r="T25" s="46">
        <f>T24</f>
        <v>32000</v>
      </c>
      <c r="U25" s="59">
        <f>U24</f>
        <v>0.72</v>
      </c>
      <c r="V25" s="48">
        <f>(T25*S25)/(6356*U25)</f>
        <v>3.0764897844293886</v>
      </c>
      <c r="W25" s="59">
        <f>W24</f>
        <v>0.93</v>
      </c>
      <c r="X25" s="59">
        <f>X24</f>
        <v>0.95</v>
      </c>
      <c r="Y25" s="48">
        <f>V25*0.746/(W25*X25)</f>
        <v>2.597692562744</v>
      </c>
      <c r="Z25" s="57">
        <f>Z24</f>
        <v>0.1</v>
      </c>
      <c r="AA25" s="46">
        <f>Y25*G25*E25</f>
        <v>1745.649402163968</v>
      </c>
      <c r="AB25" s="46">
        <f>AA25/(D25-C25)</f>
        <v>62.344621505856004</v>
      </c>
      <c r="AC25" s="55">
        <f>AA25*Z25</f>
        <v>174.56494021639682</v>
      </c>
      <c r="AD25" s="55">
        <f>AC25/(D25-C25)</f>
        <v>6.234462150585601</v>
      </c>
      <c r="AE25" s="60">
        <f>O25</f>
        <v>13.771428571428572</v>
      </c>
      <c r="AF25" s="60">
        <f>AD25</f>
        <v>6.234462150585601</v>
      </c>
      <c r="AG25" s="60">
        <f>AE25+AF25</f>
        <v>20.005890722014172</v>
      </c>
      <c r="AH25" s="60" t="str">
        <f>'[4]Data'!$AG25</f>
        <v>Total</v>
      </c>
      <c r="AI25" s="55">
        <f>AC25</f>
        <v>174.56494021639682</v>
      </c>
      <c r="AJ25" s="55" t="str">
        <f>'[4]Data'!$AC25</f>
        <v>$</v>
      </c>
      <c r="AK25" s="55">
        <f>AI25-AJ25</f>
        <v>174.56494021639682</v>
      </c>
      <c r="AL25" s="55">
        <f>AL24+AK25</f>
        <v>1104.4674668545636</v>
      </c>
    </row>
    <row r="26" spans="1:38" ht="18">
      <c r="A26" s="16"/>
      <c r="B26" s="46">
        <f aca="true" t="shared" si="4" ref="B26:B71">B25+1</f>
        <v>3</v>
      </c>
      <c r="C26" s="50">
        <f aca="true" t="shared" si="5" ref="C26:C71">D25</f>
        <v>40113</v>
      </c>
      <c r="D26" s="61">
        <f aca="true" t="shared" si="6" ref="D26:D71">(E26*7)+C26</f>
        <v>40141</v>
      </c>
      <c r="E26" s="46">
        <f aca="true" t="shared" si="7" ref="E26:E71">E25</f>
        <v>4</v>
      </c>
      <c r="F26" s="50">
        <f aca="true" t="shared" si="8" ref="F26:F71">(C26+D26)/2</f>
        <v>40127</v>
      </c>
      <c r="G26" s="46">
        <f aca="true" t="shared" si="9" ref="G26:G71">G25</f>
        <v>168</v>
      </c>
      <c r="H26" s="46">
        <f aca="true" t="shared" si="10" ref="H26:H71">G26*E26</f>
        <v>672</v>
      </c>
      <c r="I26" s="60">
        <f aca="true" t="shared" si="11" ref="I26:I71">I25</f>
        <v>88</v>
      </c>
      <c r="J26" s="60">
        <f aca="true" t="shared" si="12" ref="J26:J71">J25</f>
        <v>543.2</v>
      </c>
      <c r="K26" s="60">
        <f aca="true" t="shared" si="13" ref="K26:K71">K25</f>
        <v>140</v>
      </c>
      <c r="L26" s="48">
        <f aca="true" t="shared" si="14" ref="L26:L71">L25</f>
        <v>4.938271604938272</v>
      </c>
      <c r="M26" s="60">
        <f aca="true" t="shared" si="15" ref="M26:M71">M25</f>
        <v>0</v>
      </c>
      <c r="N26" s="55">
        <f aca="true" t="shared" si="16" ref="N26:N71">N25</f>
        <v>771.2</v>
      </c>
      <c r="O26" s="60">
        <f t="shared" si="0"/>
        <v>9.180952380952382</v>
      </c>
      <c r="P26" s="71">
        <f aca="true" t="shared" si="17" ref="P26:P71">R25</f>
        <v>0.4599584054283291</v>
      </c>
      <c r="Q26" s="72">
        <f>('Initial pressure drop'!$H$73/1000)*Data!$H$24</f>
        <v>0.03997920271416455</v>
      </c>
      <c r="R26" s="73">
        <f t="shared" si="2"/>
        <v>0.49993760814249366</v>
      </c>
      <c r="S26" s="66">
        <f t="shared" si="3"/>
        <v>0.4799480067854114</v>
      </c>
      <c r="T26" s="46">
        <f aca="true" t="shared" si="18" ref="T26:T71">T25</f>
        <v>32000</v>
      </c>
      <c r="U26" s="59">
        <f aca="true" t="shared" si="19" ref="U26:U71">U25</f>
        <v>0.72</v>
      </c>
      <c r="V26" s="48">
        <f aca="true" t="shared" si="20" ref="V26:V71">(T26*S26)/(6356*U26)</f>
        <v>3.3560450792630685</v>
      </c>
      <c r="W26" s="59">
        <f aca="true" t="shared" si="21" ref="W26:W71">W25</f>
        <v>0.93</v>
      </c>
      <c r="X26" s="59">
        <f aca="true" t="shared" si="22" ref="X26:X71">X25</f>
        <v>0.95</v>
      </c>
      <c r="Y26" s="48">
        <f aca="true" t="shared" si="23" ref="Y26:Y71">V26*0.746/(W26*X26)</f>
        <v>2.8337403838486126</v>
      </c>
      <c r="Z26" s="57">
        <f aca="true" t="shared" si="24" ref="Z26:Z71">Z25</f>
        <v>0.1</v>
      </c>
      <c r="AA26" s="46">
        <f aca="true" t="shared" si="25" ref="AA26:AA71">Y26*G26*E26</f>
        <v>1904.2735379462677</v>
      </c>
      <c r="AB26" s="46">
        <f aca="true" t="shared" si="26" ref="AB26:AB71">AA26/(D26-C26)</f>
        <v>68.0097692123667</v>
      </c>
      <c r="AC26" s="55">
        <f aca="true" t="shared" si="27" ref="AC26:AC71">AA26*Z26</f>
        <v>190.42735379462678</v>
      </c>
      <c r="AD26" s="55">
        <f aca="true" t="shared" si="28" ref="AD26:AD71">AC26/(D26-C26)</f>
        <v>6.80097692123667</v>
      </c>
      <c r="AE26" s="60">
        <f aca="true" t="shared" si="29" ref="AE26:AE71">O26</f>
        <v>9.180952380952382</v>
      </c>
      <c r="AF26" s="60">
        <f aca="true" t="shared" si="30" ref="AF26:AF71">AD26</f>
        <v>6.80097692123667</v>
      </c>
      <c r="AG26" s="60">
        <f aca="true" t="shared" si="31" ref="AG26:AG71">AE26+AF26</f>
        <v>15.981929302189052</v>
      </c>
      <c r="AH26" s="60">
        <f>'[4]Data'!$AG26</f>
        <v>0</v>
      </c>
      <c r="AI26" s="55">
        <f aca="true" t="shared" si="32" ref="AI26:AI71">AC26</f>
        <v>190.42735379462678</v>
      </c>
      <c r="AJ26" s="55" t="str">
        <f>'[4]Data'!$AC26</f>
        <v>Total</v>
      </c>
      <c r="AK26" s="55">
        <f aca="true" t="shared" si="33" ref="AK26:AK71">AI26-AJ26</f>
        <v>190.42735379462678</v>
      </c>
      <c r="AL26" s="55">
        <f aca="true" t="shared" si="34" ref="AL26:AL71">AL25+AK26</f>
        <v>1294.8948206491903</v>
      </c>
    </row>
    <row r="27" spans="1:38" ht="18">
      <c r="A27" s="16"/>
      <c r="B27" s="46">
        <f t="shared" si="4"/>
        <v>4</v>
      </c>
      <c r="C27" s="50">
        <f t="shared" si="5"/>
        <v>40141</v>
      </c>
      <c r="D27" s="61">
        <f t="shared" si="6"/>
        <v>40169</v>
      </c>
      <c r="E27" s="46">
        <f t="shared" si="7"/>
        <v>4</v>
      </c>
      <c r="F27" s="50">
        <f t="shared" si="8"/>
        <v>40155</v>
      </c>
      <c r="G27" s="46">
        <f t="shared" si="9"/>
        <v>168</v>
      </c>
      <c r="H27" s="46">
        <f t="shared" si="10"/>
        <v>672</v>
      </c>
      <c r="I27" s="60">
        <f t="shared" si="11"/>
        <v>88</v>
      </c>
      <c r="J27" s="60">
        <f t="shared" si="12"/>
        <v>543.2</v>
      </c>
      <c r="K27" s="60">
        <f t="shared" si="13"/>
        <v>140</v>
      </c>
      <c r="L27" s="48">
        <f t="shared" si="14"/>
        <v>4.938271604938272</v>
      </c>
      <c r="M27" s="60">
        <f t="shared" si="15"/>
        <v>0</v>
      </c>
      <c r="N27" s="55">
        <f t="shared" si="16"/>
        <v>771.2</v>
      </c>
      <c r="O27" s="60">
        <f t="shared" si="0"/>
        <v>6.885714285714286</v>
      </c>
      <c r="P27" s="71">
        <f t="shared" si="17"/>
        <v>0.49993760814249366</v>
      </c>
      <c r="Q27" s="72">
        <f>('Initial pressure drop'!$H$73/1000)*Data!$H$24</f>
        <v>0.03997920271416455</v>
      </c>
      <c r="R27" s="73">
        <f t="shared" si="2"/>
        <v>0.5399168108566582</v>
      </c>
      <c r="S27" s="66">
        <f t="shared" si="3"/>
        <v>0.5199272094995759</v>
      </c>
      <c r="T27" s="46">
        <f t="shared" si="18"/>
        <v>32000</v>
      </c>
      <c r="U27" s="59">
        <f t="shared" si="19"/>
        <v>0.72</v>
      </c>
      <c r="V27" s="48">
        <f t="shared" si="20"/>
        <v>3.6356003740967484</v>
      </c>
      <c r="W27" s="59">
        <f t="shared" si="21"/>
        <v>0.93</v>
      </c>
      <c r="X27" s="59">
        <f t="shared" si="22"/>
        <v>0.95</v>
      </c>
      <c r="Y27" s="48">
        <f t="shared" si="23"/>
        <v>3.0697882049532255</v>
      </c>
      <c r="Z27" s="57">
        <f t="shared" si="24"/>
        <v>0.1</v>
      </c>
      <c r="AA27" s="46">
        <f t="shared" si="25"/>
        <v>2062.8976737285675</v>
      </c>
      <c r="AB27" s="46">
        <f t="shared" si="26"/>
        <v>73.67491691887741</v>
      </c>
      <c r="AC27" s="55">
        <f t="shared" si="27"/>
        <v>206.28976737285677</v>
      </c>
      <c r="AD27" s="55">
        <f t="shared" si="28"/>
        <v>7.367491691887742</v>
      </c>
      <c r="AE27" s="60">
        <f t="shared" si="29"/>
        <v>6.885714285714286</v>
      </c>
      <c r="AF27" s="60">
        <f t="shared" si="30"/>
        <v>7.367491691887742</v>
      </c>
      <c r="AG27" s="60">
        <f t="shared" si="31"/>
        <v>14.253205977602029</v>
      </c>
      <c r="AH27" s="60">
        <f>'[4]Data'!$AG27</f>
        <v>0</v>
      </c>
      <c r="AI27" s="55">
        <f t="shared" si="32"/>
        <v>206.28976737285677</v>
      </c>
      <c r="AJ27" s="55">
        <f>'[4]Data'!$AC27</f>
        <v>0</v>
      </c>
      <c r="AK27" s="55">
        <f t="shared" si="33"/>
        <v>206.28976737285677</v>
      </c>
      <c r="AL27" s="55">
        <f t="shared" si="34"/>
        <v>1501.1845880220471</v>
      </c>
    </row>
    <row r="28" spans="1:38" ht="18">
      <c r="A28" s="16"/>
      <c r="B28" s="46">
        <f t="shared" si="4"/>
        <v>5</v>
      </c>
      <c r="C28" s="50">
        <f t="shared" si="5"/>
        <v>40169</v>
      </c>
      <c r="D28" s="61">
        <f t="shared" si="6"/>
        <v>40197</v>
      </c>
      <c r="E28" s="46">
        <f t="shared" si="7"/>
        <v>4</v>
      </c>
      <c r="F28" s="50">
        <f t="shared" si="8"/>
        <v>40183</v>
      </c>
      <c r="G28" s="46">
        <f t="shared" si="9"/>
        <v>168</v>
      </c>
      <c r="H28" s="46">
        <f t="shared" si="10"/>
        <v>672</v>
      </c>
      <c r="I28" s="60">
        <f t="shared" si="11"/>
        <v>88</v>
      </c>
      <c r="J28" s="60">
        <f t="shared" si="12"/>
        <v>543.2</v>
      </c>
      <c r="K28" s="60">
        <f t="shared" si="13"/>
        <v>140</v>
      </c>
      <c r="L28" s="48">
        <f t="shared" si="14"/>
        <v>4.938271604938272</v>
      </c>
      <c r="M28" s="60">
        <f t="shared" si="15"/>
        <v>0</v>
      </c>
      <c r="N28" s="55">
        <f t="shared" si="16"/>
        <v>771.2</v>
      </c>
      <c r="O28" s="60">
        <f t="shared" si="0"/>
        <v>5.508571428571429</v>
      </c>
      <c r="P28" s="71">
        <f t="shared" si="17"/>
        <v>0.5399168108566582</v>
      </c>
      <c r="Q28" s="72">
        <f>('Initial pressure drop'!$H$73/1000)*Data!$H$24</f>
        <v>0.03997920271416455</v>
      </c>
      <c r="R28" s="73">
        <f t="shared" si="2"/>
        <v>0.5798960135708228</v>
      </c>
      <c r="S28" s="66">
        <f t="shared" si="3"/>
        <v>0.5599064122137405</v>
      </c>
      <c r="T28" s="46">
        <f t="shared" si="18"/>
        <v>32000</v>
      </c>
      <c r="U28" s="59">
        <f t="shared" si="19"/>
        <v>0.72</v>
      </c>
      <c r="V28" s="48">
        <f t="shared" si="20"/>
        <v>3.9151556689304283</v>
      </c>
      <c r="W28" s="59">
        <f t="shared" si="21"/>
        <v>0.93</v>
      </c>
      <c r="X28" s="59">
        <f t="shared" si="22"/>
        <v>0.95</v>
      </c>
      <c r="Y28" s="48">
        <f t="shared" si="23"/>
        <v>3.305836026057838</v>
      </c>
      <c r="Z28" s="57">
        <f t="shared" si="24"/>
        <v>0.1</v>
      </c>
      <c r="AA28" s="46">
        <f t="shared" si="25"/>
        <v>2221.521809510867</v>
      </c>
      <c r="AB28" s="46">
        <f t="shared" si="26"/>
        <v>79.34006462538811</v>
      </c>
      <c r="AC28" s="55">
        <f t="shared" si="27"/>
        <v>222.15218095108673</v>
      </c>
      <c r="AD28" s="55">
        <f t="shared" si="28"/>
        <v>7.934006462538812</v>
      </c>
      <c r="AE28" s="60">
        <f t="shared" si="29"/>
        <v>5.508571428571429</v>
      </c>
      <c r="AF28" s="60">
        <f t="shared" si="30"/>
        <v>7.934006462538812</v>
      </c>
      <c r="AG28" s="60">
        <f t="shared" si="31"/>
        <v>13.44257789111024</v>
      </c>
      <c r="AH28" s="60">
        <f>'[4]Data'!$AG28</f>
        <v>71.60086808382893</v>
      </c>
      <c r="AI28" s="55">
        <f t="shared" si="32"/>
        <v>222.15218095108673</v>
      </c>
      <c r="AJ28" s="55">
        <f>'[4]Data'!$AC28</f>
        <v>44.82430634720986</v>
      </c>
      <c r="AK28" s="55">
        <f t="shared" si="33"/>
        <v>177.32787460387686</v>
      </c>
      <c r="AL28" s="55">
        <f t="shared" si="34"/>
        <v>1678.512462625924</v>
      </c>
    </row>
    <row r="29" spans="1:38" ht="18">
      <c r="A29" s="16"/>
      <c r="B29" s="46">
        <f t="shared" si="4"/>
        <v>6</v>
      </c>
      <c r="C29" s="50">
        <f t="shared" si="5"/>
        <v>40197</v>
      </c>
      <c r="D29" s="61">
        <f t="shared" si="6"/>
        <v>40225</v>
      </c>
      <c r="E29" s="46">
        <f t="shared" si="7"/>
        <v>4</v>
      </c>
      <c r="F29" s="50">
        <f t="shared" si="8"/>
        <v>40211</v>
      </c>
      <c r="G29" s="46">
        <f t="shared" si="9"/>
        <v>168</v>
      </c>
      <c r="H29" s="46">
        <f t="shared" si="10"/>
        <v>672</v>
      </c>
      <c r="I29" s="60">
        <f t="shared" si="11"/>
        <v>88</v>
      </c>
      <c r="J29" s="60">
        <f t="shared" si="12"/>
        <v>543.2</v>
      </c>
      <c r="K29" s="60">
        <f t="shared" si="13"/>
        <v>140</v>
      </c>
      <c r="L29" s="48">
        <f t="shared" si="14"/>
        <v>4.938271604938272</v>
      </c>
      <c r="M29" s="60">
        <f t="shared" si="15"/>
        <v>0</v>
      </c>
      <c r="N29" s="55">
        <f t="shared" si="16"/>
        <v>771.2</v>
      </c>
      <c r="O29" s="60">
        <f t="shared" si="0"/>
        <v>4.590476190476191</v>
      </c>
      <c r="P29" s="71">
        <f t="shared" si="17"/>
        <v>0.5798960135708228</v>
      </c>
      <c r="Q29" s="72">
        <f>('Initial pressure drop'!$H$73/1000)*Data!$H$24</f>
        <v>0.03997920271416455</v>
      </c>
      <c r="R29" s="73">
        <f t="shared" si="2"/>
        <v>0.6198752162849873</v>
      </c>
      <c r="S29" s="66">
        <f t="shared" si="3"/>
        <v>0.599885614927905</v>
      </c>
      <c r="T29" s="46">
        <f t="shared" si="18"/>
        <v>32000</v>
      </c>
      <c r="U29" s="59">
        <f t="shared" si="19"/>
        <v>0.72</v>
      </c>
      <c r="V29" s="48">
        <f t="shared" si="20"/>
        <v>4.194710963764108</v>
      </c>
      <c r="W29" s="59">
        <f t="shared" si="21"/>
        <v>0.93</v>
      </c>
      <c r="X29" s="59">
        <f t="shared" si="22"/>
        <v>0.95</v>
      </c>
      <c r="Y29" s="48">
        <f t="shared" si="23"/>
        <v>3.5418838471624507</v>
      </c>
      <c r="Z29" s="57">
        <f t="shared" si="24"/>
        <v>0.1</v>
      </c>
      <c r="AA29" s="46">
        <f t="shared" si="25"/>
        <v>2380.1459452931667</v>
      </c>
      <c r="AB29" s="46">
        <f t="shared" si="26"/>
        <v>85.00521233189882</v>
      </c>
      <c r="AC29" s="55">
        <f t="shared" si="27"/>
        <v>238.0145945293167</v>
      </c>
      <c r="AD29" s="55">
        <f t="shared" si="28"/>
        <v>8.500521233189883</v>
      </c>
      <c r="AE29" s="60">
        <f t="shared" si="29"/>
        <v>4.590476190476191</v>
      </c>
      <c r="AF29" s="60">
        <f t="shared" si="30"/>
        <v>8.500521233189883</v>
      </c>
      <c r="AG29" s="60">
        <f t="shared" si="31"/>
        <v>13.090997423666074</v>
      </c>
      <c r="AH29" s="60">
        <f>'[4]Data'!$AG29</f>
        <v>36.685152149344724</v>
      </c>
      <c r="AI29" s="55">
        <f t="shared" si="32"/>
        <v>238.0145945293167</v>
      </c>
      <c r="AJ29" s="55">
        <f>'[4]Data'!$AC29</f>
        <v>47.184260181652206</v>
      </c>
      <c r="AK29" s="55">
        <f t="shared" si="33"/>
        <v>190.8303343476645</v>
      </c>
      <c r="AL29" s="55">
        <f t="shared" si="34"/>
        <v>1869.3427969735885</v>
      </c>
    </row>
    <row r="30" spans="1:38" ht="18">
      <c r="A30" s="16"/>
      <c r="B30" s="46">
        <f t="shared" si="4"/>
        <v>7</v>
      </c>
      <c r="C30" s="50">
        <f t="shared" si="5"/>
        <v>40225</v>
      </c>
      <c r="D30" s="61">
        <f t="shared" si="6"/>
        <v>40253</v>
      </c>
      <c r="E30" s="46">
        <f t="shared" si="7"/>
        <v>4</v>
      </c>
      <c r="F30" s="50">
        <f t="shared" si="8"/>
        <v>40239</v>
      </c>
      <c r="G30" s="46">
        <f t="shared" si="9"/>
        <v>168</v>
      </c>
      <c r="H30" s="46">
        <f t="shared" si="10"/>
        <v>672</v>
      </c>
      <c r="I30" s="60">
        <f t="shared" si="11"/>
        <v>88</v>
      </c>
      <c r="J30" s="60">
        <f t="shared" si="12"/>
        <v>543.2</v>
      </c>
      <c r="K30" s="60">
        <f t="shared" si="13"/>
        <v>140</v>
      </c>
      <c r="L30" s="48">
        <f t="shared" si="14"/>
        <v>4.938271604938272</v>
      </c>
      <c r="M30" s="60">
        <f t="shared" si="15"/>
        <v>0</v>
      </c>
      <c r="N30" s="55">
        <f t="shared" si="16"/>
        <v>771.2</v>
      </c>
      <c r="O30" s="60">
        <f t="shared" si="0"/>
        <v>3.9346938775510205</v>
      </c>
      <c r="P30" s="71">
        <f t="shared" si="17"/>
        <v>0.6198752162849873</v>
      </c>
      <c r="Q30" s="72">
        <f>('Initial pressure drop'!$H$73/1000)*Data!$H$24</f>
        <v>0.03997920271416455</v>
      </c>
      <c r="R30" s="73">
        <f t="shared" si="2"/>
        <v>0.6598544189991519</v>
      </c>
      <c r="S30" s="66">
        <f t="shared" si="3"/>
        <v>0.6398648176420696</v>
      </c>
      <c r="T30" s="46">
        <f t="shared" si="18"/>
        <v>32000</v>
      </c>
      <c r="U30" s="59">
        <f t="shared" si="19"/>
        <v>0.72</v>
      </c>
      <c r="V30" s="48">
        <f t="shared" si="20"/>
        <v>4.474266258597788</v>
      </c>
      <c r="W30" s="59">
        <f t="shared" si="21"/>
        <v>0.93</v>
      </c>
      <c r="X30" s="59">
        <f t="shared" si="22"/>
        <v>0.95</v>
      </c>
      <c r="Y30" s="48">
        <f t="shared" si="23"/>
        <v>3.7779316682670627</v>
      </c>
      <c r="Z30" s="57">
        <f t="shared" si="24"/>
        <v>0.1</v>
      </c>
      <c r="AA30" s="46">
        <f t="shared" si="25"/>
        <v>2538.7700810754664</v>
      </c>
      <c r="AB30" s="46">
        <f t="shared" si="26"/>
        <v>90.67036003840951</v>
      </c>
      <c r="AC30" s="55">
        <f t="shared" si="27"/>
        <v>253.87700810754666</v>
      </c>
      <c r="AD30" s="55">
        <f t="shared" si="28"/>
        <v>9.067036003840952</v>
      </c>
      <c r="AE30" s="60">
        <f t="shared" si="29"/>
        <v>3.9346938775510205</v>
      </c>
      <c r="AF30" s="60">
        <f t="shared" si="30"/>
        <v>9.067036003840952</v>
      </c>
      <c r="AG30" s="60">
        <f t="shared" si="31"/>
        <v>13.001729881391974</v>
      </c>
      <c r="AH30" s="60">
        <f>'[4]Data'!$AG30</f>
        <v>25.10276954819385</v>
      </c>
      <c r="AI30" s="55">
        <f t="shared" si="32"/>
        <v>253.87700810754666</v>
      </c>
      <c r="AJ30" s="55">
        <f>'[4]Data'!$AC30</f>
        <v>49.54421401609452</v>
      </c>
      <c r="AK30" s="55">
        <f t="shared" si="33"/>
        <v>204.33279409145214</v>
      </c>
      <c r="AL30" s="55">
        <f t="shared" si="34"/>
        <v>2073.675591065041</v>
      </c>
    </row>
    <row r="31" spans="1:38" ht="18">
      <c r="A31" s="16"/>
      <c r="B31" s="46">
        <f t="shared" si="4"/>
        <v>8</v>
      </c>
      <c r="C31" s="50">
        <f t="shared" si="5"/>
        <v>40253</v>
      </c>
      <c r="D31" s="61">
        <f t="shared" si="6"/>
        <v>40281</v>
      </c>
      <c r="E31" s="46">
        <f t="shared" si="7"/>
        <v>4</v>
      </c>
      <c r="F31" s="50">
        <f t="shared" si="8"/>
        <v>40267</v>
      </c>
      <c r="G31" s="46">
        <f t="shared" si="9"/>
        <v>168</v>
      </c>
      <c r="H31" s="46">
        <f t="shared" si="10"/>
        <v>672</v>
      </c>
      <c r="I31" s="60">
        <f t="shared" si="11"/>
        <v>88</v>
      </c>
      <c r="J31" s="60">
        <f t="shared" si="12"/>
        <v>543.2</v>
      </c>
      <c r="K31" s="60">
        <f t="shared" si="13"/>
        <v>140</v>
      </c>
      <c r="L31" s="48">
        <f t="shared" si="14"/>
        <v>4.938271604938272</v>
      </c>
      <c r="M31" s="60">
        <f t="shared" si="15"/>
        <v>0</v>
      </c>
      <c r="N31" s="55">
        <f t="shared" si="16"/>
        <v>771.2</v>
      </c>
      <c r="O31" s="60">
        <f t="shared" si="0"/>
        <v>3.442857142857143</v>
      </c>
      <c r="P31" s="71">
        <f t="shared" si="17"/>
        <v>0.6598544189991519</v>
      </c>
      <c r="Q31" s="72">
        <f>('Initial pressure drop'!$H$73/1000)*Data!$H$24</f>
        <v>0.03997920271416455</v>
      </c>
      <c r="R31" s="73">
        <f t="shared" si="2"/>
        <v>0.6998336217133164</v>
      </c>
      <c r="S31" s="66">
        <f t="shared" si="3"/>
        <v>0.6798440203562341</v>
      </c>
      <c r="T31" s="46">
        <f t="shared" si="18"/>
        <v>32000</v>
      </c>
      <c r="U31" s="59">
        <f t="shared" si="19"/>
        <v>0.72</v>
      </c>
      <c r="V31" s="48">
        <f t="shared" si="20"/>
        <v>4.753821553431468</v>
      </c>
      <c r="W31" s="59">
        <f t="shared" si="21"/>
        <v>0.93</v>
      </c>
      <c r="X31" s="59">
        <f t="shared" si="22"/>
        <v>0.95</v>
      </c>
      <c r="Y31" s="48">
        <f t="shared" si="23"/>
        <v>4.013979489371676</v>
      </c>
      <c r="Z31" s="57">
        <f t="shared" si="24"/>
        <v>0.1</v>
      </c>
      <c r="AA31" s="46">
        <f t="shared" si="25"/>
        <v>2697.394216857766</v>
      </c>
      <c r="AB31" s="46">
        <f t="shared" si="26"/>
        <v>96.3355077449202</v>
      </c>
      <c r="AC31" s="55">
        <f t="shared" si="27"/>
        <v>269.7394216857766</v>
      </c>
      <c r="AD31" s="55">
        <f t="shared" si="28"/>
        <v>9.633550774492022</v>
      </c>
      <c r="AE31" s="60">
        <f t="shared" si="29"/>
        <v>3.442857142857143</v>
      </c>
      <c r="AF31" s="60">
        <f t="shared" si="30"/>
        <v>9.633550774492022</v>
      </c>
      <c r="AG31" s="60">
        <f t="shared" si="31"/>
        <v>13.076407917349165</v>
      </c>
      <c r="AH31" s="60">
        <f>'[4]Data'!$AG31</f>
        <v>19.353720280376315</v>
      </c>
      <c r="AI31" s="55">
        <f t="shared" si="32"/>
        <v>269.7394216857766</v>
      </c>
      <c r="AJ31" s="55">
        <f>'[4]Data'!$AC31</f>
        <v>51.90416785053685</v>
      </c>
      <c r="AK31" s="55">
        <f t="shared" si="33"/>
        <v>217.83525383523977</v>
      </c>
      <c r="AL31" s="55">
        <f t="shared" si="34"/>
        <v>2291.5108449002805</v>
      </c>
    </row>
    <row r="32" spans="1:38" ht="18">
      <c r="A32" s="16"/>
      <c r="B32" s="46">
        <f t="shared" si="4"/>
        <v>9</v>
      </c>
      <c r="C32" s="50">
        <f t="shared" si="5"/>
        <v>40281</v>
      </c>
      <c r="D32" s="61">
        <f t="shared" si="6"/>
        <v>40309</v>
      </c>
      <c r="E32" s="46">
        <f t="shared" si="7"/>
        <v>4</v>
      </c>
      <c r="F32" s="50">
        <f t="shared" si="8"/>
        <v>40295</v>
      </c>
      <c r="G32" s="46">
        <f t="shared" si="9"/>
        <v>168</v>
      </c>
      <c r="H32" s="46">
        <f t="shared" si="10"/>
        <v>672</v>
      </c>
      <c r="I32" s="60">
        <f t="shared" si="11"/>
        <v>88</v>
      </c>
      <c r="J32" s="60">
        <f t="shared" si="12"/>
        <v>543.2</v>
      </c>
      <c r="K32" s="60">
        <f t="shared" si="13"/>
        <v>140</v>
      </c>
      <c r="L32" s="48">
        <f t="shared" si="14"/>
        <v>4.938271604938272</v>
      </c>
      <c r="M32" s="60">
        <f t="shared" si="15"/>
        <v>0</v>
      </c>
      <c r="N32" s="55">
        <f t="shared" si="16"/>
        <v>771.2</v>
      </c>
      <c r="O32" s="60">
        <f t="shared" si="0"/>
        <v>3.0603174603174605</v>
      </c>
      <c r="P32" s="71">
        <f t="shared" si="17"/>
        <v>0.6998336217133164</v>
      </c>
      <c r="Q32" s="72">
        <f>('Initial pressure drop'!$H$73/1000)*Data!$H$24</f>
        <v>0.03997920271416455</v>
      </c>
      <c r="R32" s="73">
        <f t="shared" si="2"/>
        <v>0.739812824427481</v>
      </c>
      <c r="S32" s="66">
        <f t="shared" si="3"/>
        <v>0.7198232230703987</v>
      </c>
      <c r="T32" s="46">
        <f t="shared" si="18"/>
        <v>32000</v>
      </c>
      <c r="U32" s="59">
        <f t="shared" si="19"/>
        <v>0.72</v>
      </c>
      <c r="V32" s="48">
        <f t="shared" si="20"/>
        <v>5.0333768482651475</v>
      </c>
      <c r="W32" s="59">
        <f t="shared" si="21"/>
        <v>0.93</v>
      </c>
      <c r="X32" s="59">
        <f t="shared" si="22"/>
        <v>0.95</v>
      </c>
      <c r="Y32" s="48">
        <f t="shared" si="23"/>
        <v>4.250027310476288</v>
      </c>
      <c r="Z32" s="57">
        <f t="shared" si="24"/>
        <v>0.1</v>
      </c>
      <c r="AA32" s="46">
        <f t="shared" si="25"/>
        <v>2856.018352640065</v>
      </c>
      <c r="AB32" s="46">
        <f t="shared" si="26"/>
        <v>102.0006554514309</v>
      </c>
      <c r="AC32" s="55">
        <f t="shared" si="27"/>
        <v>285.6018352640065</v>
      </c>
      <c r="AD32" s="55">
        <f t="shared" si="28"/>
        <v>10.20006554514309</v>
      </c>
      <c r="AE32" s="60">
        <f t="shared" si="29"/>
        <v>3.0603174603174605</v>
      </c>
      <c r="AF32" s="60">
        <f t="shared" si="30"/>
        <v>10.20006554514309</v>
      </c>
      <c r="AG32" s="60">
        <f t="shared" si="31"/>
        <v>13.26038300546055</v>
      </c>
      <c r="AH32" s="60">
        <f>'[4]Data'!$AG32</f>
        <v>15.938004345892114</v>
      </c>
      <c r="AI32" s="55">
        <f t="shared" si="32"/>
        <v>285.6018352640065</v>
      </c>
      <c r="AJ32" s="55">
        <f>'[4]Data'!$AC32</f>
        <v>54.26412168497919</v>
      </c>
      <c r="AK32" s="55">
        <f t="shared" si="33"/>
        <v>231.33771357902734</v>
      </c>
      <c r="AL32" s="55">
        <f t="shared" si="34"/>
        <v>2522.848558479308</v>
      </c>
    </row>
    <row r="33" spans="1:38" ht="18">
      <c r="A33" s="16"/>
      <c r="B33" s="46">
        <f t="shared" si="4"/>
        <v>10</v>
      </c>
      <c r="C33" s="50">
        <f t="shared" si="5"/>
        <v>40309</v>
      </c>
      <c r="D33" s="61">
        <f t="shared" si="6"/>
        <v>40337</v>
      </c>
      <c r="E33" s="46">
        <f t="shared" si="7"/>
        <v>4</v>
      </c>
      <c r="F33" s="50">
        <f t="shared" si="8"/>
        <v>40323</v>
      </c>
      <c r="G33" s="46">
        <f t="shared" si="9"/>
        <v>168</v>
      </c>
      <c r="H33" s="46">
        <f t="shared" si="10"/>
        <v>672</v>
      </c>
      <c r="I33" s="60">
        <f t="shared" si="11"/>
        <v>88</v>
      </c>
      <c r="J33" s="60">
        <f t="shared" si="12"/>
        <v>543.2</v>
      </c>
      <c r="K33" s="60">
        <f t="shared" si="13"/>
        <v>140</v>
      </c>
      <c r="L33" s="48">
        <f t="shared" si="14"/>
        <v>4.938271604938272</v>
      </c>
      <c r="M33" s="60">
        <f t="shared" si="15"/>
        <v>0</v>
      </c>
      <c r="N33" s="55">
        <f t="shared" si="16"/>
        <v>771.2</v>
      </c>
      <c r="O33" s="60">
        <f t="shared" si="0"/>
        <v>2.7542857142857144</v>
      </c>
      <c r="P33" s="71">
        <f t="shared" si="17"/>
        <v>0.739812824427481</v>
      </c>
      <c r="Q33" s="72">
        <f>('Initial pressure drop'!$H$73/1000)*Data!$H$24</f>
        <v>0.03997920271416455</v>
      </c>
      <c r="R33" s="73">
        <f t="shared" si="2"/>
        <v>0.7797920271416455</v>
      </c>
      <c r="S33" s="66">
        <f t="shared" si="3"/>
        <v>0.7598024257845633</v>
      </c>
      <c r="T33" s="46">
        <f t="shared" si="18"/>
        <v>32000</v>
      </c>
      <c r="U33" s="59">
        <f t="shared" si="19"/>
        <v>0.72</v>
      </c>
      <c r="V33" s="48">
        <f t="shared" si="20"/>
        <v>5.312932143098828</v>
      </c>
      <c r="W33" s="59">
        <f t="shared" si="21"/>
        <v>0.93</v>
      </c>
      <c r="X33" s="59">
        <f t="shared" si="22"/>
        <v>0.95</v>
      </c>
      <c r="Y33" s="48">
        <f t="shared" si="23"/>
        <v>4.4860751315809</v>
      </c>
      <c r="Z33" s="57">
        <f t="shared" si="24"/>
        <v>0.1</v>
      </c>
      <c r="AA33" s="46">
        <f t="shared" si="25"/>
        <v>3014.642488422365</v>
      </c>
      <c r="AB33" s="46">
        <f t="shared" si="26"/>
        <v>107.66580315794161</v>
      </c>
      <c r="AC33" s="55">
        <f t="shared" si="27"/>
        <v>301.46424884223654</v>
      </c>
      <c r="AD33" s="55">
        <f t="shared" si="28"/>
        <v>10.766580315794162</v>
      </c>
      <c r="AE33" s="60">
        <f t="shared" si="29"/>
        <v>2.7542857142857144</v>
      </c>
      <c r="AF33" s="60">
        <f t="shared" si="30"/>
        <v>10.766580315794162</v>
      </c>
      <c r="AG33" s="60">
        <f t="shared" si="31"/>
        <v>13.520866030079876</v>
      </c>
      <c r="AH33" s="60">
        <f>'[4]Data'!$AG33</f>
        <v>13.688955078074578</v>
      </c>
      <c r="AI33" s="55">
        <f t="shared" si="32"/>
        <v>301.46424884223654</v>
      </c>
      <c r="AJ33" s="55">
        <f>'[4]Data'!$AC33</f>
        <v>56.6240755194215</v>
      </c>
      <c r="AK33" s="55">
        <f t="shared" si="33"/>
        <v>244.84017332281505</v>
      </c>
      <c r="AL33" s="55">
        <f t="shared" si="34"/>
        <v>2767.688731802123</v>
      </c>
    </row>
    <row r="34" spans="1:38" ht="18">
      <c r="A34" s="16"/>
      <c r="B34" s="46">
        <f t="shared" si="4"/>
        <v>11</v>
      </c>
      <c r="C34" s="50">
        <f t="shared" si="5"/>
        <v>40337</v>
      </c>
      <c r="D34" s="61">
        <f t="shared" si="6"/>
        <v>40365</v>
      </c>
      <c r="E34" s="46">
        <f t="shared" si="7"/>
        <v>4</v>
      </c>
      <c r="F34" s="50">
        <f t="shared" si="8"/>
        <v>40351</v>
      </c>
      <c r="G34" s="46">
        <f t="shared" si="9"/>
        <v>168</v>
      </c>
      <c r="H34" s="46">
        <f t="shared" si="10"/>
        <v>672</v>
      </c>
      <c r="I34" s="60">
        <f t="shared" si="11"/>
        <v>88</v>
      </c>
      <c r="J34" s="60">
        <f t="shared" si="12"/>
        <v>543.2</v>
      </c>
      <c r="K34" s="60">
        <f t="shared" si="13"/>
        <v>140</v>
      </c>
      <c r="L34" s="48">
        <f t="shared" si="14"/>
        <v>4.938271604938272</v>
      </c>
      <c r="M34" s="60">
        <f t="shared" si="15"/>
        <v>0</v>
      </c>
      <c r="N34" s="55">
        <f t="shared" si="16"/>
        <v>771.2</v>
      </c>
      <c r="O34" s="60">
        <f t="shared" si="0"/>
        <v>2.503896103896104</v>
      </c>
      <c r="P34" s="71">
        <f t="shared" si="17"/>
        <v>0.7797920271416455</v>
      </c>
      <c r="Q34" s="72">
        <f>('Initial pressure drop'!$H$73/1000)*Data!$H$24</f>
        <v>0.03997920271416455</v>
      </c>
      <c r="R34" s="73">
        <f t="shared" si="2"/>
        <v>0.8197712298558101</v>
      </c>
      <c r="S34" s="66">
        <f t="shared" si="3"/>
        <v>0.7997816284987278</v>
      </c>
      <c r="T34" s="46">
        <f t="shared" si="18"/>
        <v>32000</v>
      </c>
      <c r="U34" s="59">
        <f t="shared" si="19"/>
        <v>0.72</v>
      </c>
      <c r="V34" s="48">
        <f t="shared" si="20"/>
        <v>5.592487437932507</v>
      </c>
      <c r="W34" s="59">
        <f t="shared" si="21"/>
        <v>0.93</v>
      </c>
      <c r="X34" s="59">
        <f t="shared" si="22"/>
        <v>0.95</v>
      </c>
      <c r="Y34" s="48">
        <f t="shared" si="23"/>
        <v>4.722122952685512</v>
      </c>
      <c r="Z34" s="57">
        <f t="shared" si="24"/>
        <v>0.1</v>
      </c>
      <c r="AA34" s="46">
        <f t="shared" si="25"/>
        <v>3173.2666242046644</v>
      </c>
      <c r="AB34" s="46">
        <f t="shared" si="26"/>
        <v>113.3309508644523</v>
      </c>
      <c r="AC34" s="55">
        <f t="shared" si="27"/>
        <v>317.32666242046645</v>
      </c>
      <c r="AD34" s="55">
        <f t="shared" si="28"/>
        <v>11.33309508644523</v>
      </c>
      <c r="AE34" s="60">
        <f t="shared" si="29"/>
        <v>2.503896103896104</v>
      </c>
      <c r="AF34" s="60">
        <f t="shared" si="30"/>
        <v>11.33309508644523</v>
      </c>
      <c r="AG34" s="60">
        <f t="shared" si="31"/>
        <v>13.836991190341333</v>
      </c>
      <c r="AH34" s="60">
        <f>'[4]Data'!$AG34</f>
        <v>12.10657247692371</v>
      </c>
      <c r="AI34" s="55">
        <f t="shared" si="32"/>
        <v>317.32666242046645</v>
      </c>
      <c r="AJ34" s="55">
        <f>'[4]Data'!$AC34</f>
        <v>58.98402935386383</v>
      </c>
      <c r="AK34" s="55">
        <f t="shared" si="33"/>
        <v>258.3426330666026</v>
      </c>
      <c r="AL34" s="55">
        <f t="shared" si="34"/>
        <v>3026.0313648687256</v>
      </c>
    </row>
    <row r="35" spans="1:38" s="107" customFormat="1" ht="18">
      <c r="A35" s="98"/>
      <c r="B35" s="99">
        <f t="shared" si="4"/>
        <v>12</v>
      </c>
      <c r="C35" s="100">
        <f t="shared" si="5"/>
        <v>40365</v>
      </c>
      <c r="D35" s="100">
        <f t="shared" si="6"/>
        <v>40393</v>
      </c>
      <c r="E35" s="99">
        <f t="shared" si="7"/>
        <v>4</v>
      </c>
      <c r="F35" s="100">
        <f t="shared" si="8"/>
        <v>40379</v>
      </c>
      <c r="G35" s="99">
        <f t="shared" si="9"/>
        <v>168</v>
      </c>
      <c r="H35" s="99">
        <f t="shared" si="10"/>
        <v>672</v>
      </c>
      <c r="I35" s="101">
        <f t="shared" si="11"/>
        <v>88</v>
      </c>
      <c r="J35" s="101">
        <f t="shared" si="12"/>
        <v>543.2</v>
      </c>
      <c r="K35" s="101">
        <f t="shared" si="13"/>
        <v>140</v>
      </c>
      <c r="L35" s="102">
        <f t="shared" si="14"/>
        <v>4.938271604938272</v>
      </c>
      <c r="M35" s="101">
        <f t="shared" si="15"/>
        <v>0</v>
      </c>
      <c r="N35" s="103">
        <f t="shared" si="16"/>
        <v>771.2</v>
      </c>
      <c r="O35" s="101">
        <f t="shared" si="0"/>
        <v>2.2952380952380955</v>
      </c>
      <c r="P35" s="104">
        <f t="shared" si="17"/>
        <v>0.8197712298558101</v>
      </c>
      <c r="Q35" s="104">
        <f>('Initial pressure drop'!$H$73/1000)*Data!$H$24</f>
        <v>0.03997920271416455</v>
      </c>
      <c r="R35" s="104">
        <f t="shared" si="2"/>
        <v>0.8597504325699746</v>
      </c>
      <c r="S35" s="104">
        <f t="shared" si="3"/>
        <v>0.8397608312128924</v>
      </c>
      <c r="T35" s="99">
        <f t="shared" si="18"/>
        <v>32000</v>
      </c>
      <c r="U35" s="105">
        <f t="shared" si="19"/>
        <v>0.72</v>
      </c>
      <c r="V35" s="102">
        <f t="shared" si="20"/>
        <v>5.872042732766187</v>
      </c>
      <c r="W35" s="105">
        <f t="shared" si="21"/>
        <v>0.93</v>
      </c>
      <c r="X35" s="105">
        <f t="shared" si="22"/>
        <v>0.95</v>
      </c>
      <c r="Y35" s="102">
        <f t="shared" si="23"/>
        <v>4.958170773790125</v>
      </c>
      <c r="Z35" s="106">
        <f t="shared" si="24"/>
        <v>0.1</v>
      </c>
      <c r="AA35" s="99">
        <f t="shared" si="25"/>
        <v>3331.890759986964</v>
      </c>
      <c r="AB35" s="99">
        <f t="shared" si="26"/>
        <v>118.996098570963</v>
      </c>
      <c r="AC35" s="103">
        <f t="shared" si="27"/>
        <v>333.1890759986964</v>
      </c>
      <c r="AD35" s="103">
        <f t="shared" si="28"/>
        <v>11.8996098570963</v>
      </c>
      <c r="AE35" s="101">
        <f t="shared" si="29"/>
        <v>2.2952380952380955</v>
      </c>
      <c r="AF35" s="101">
        <f t="shared" si="30"/>
        <v>11.8996098570963</v>
      </c>
      <c r="AG35" s="101">
        <f t="shared" si="31"/>
        <v>14.194847952334396</v>
      </c>
      <c r="AH35" s="60">
        <f>'[4]Data'!$AG35</f>
        <v>10.940856542439505</v>
      </c>
      <c r="AI35" s="55">
        <f t="shared" si="32"/>
        <v>333.1890759986964</v>
      </c>
      <c r="AJ35" s="55">
        <f>'[4]Data'!$AC35</f>
        <v>61.343983188306154</v>
      </c>
      <c r="AK35" s="55">
        <f t="shared" si="33"/>
        <v>271.84509281039027</v>
      </c>
      <c r="AL35" s="55">
        <f t="shared" si="34"/>
        <v>3297.876457679116</v>
      </c>
    </row>
    <row r="36" spans="1:38" ht="18">
      <c r="A36" s="16"/>
      <c r="B36" s="46">
        <f t="shared" si="4"/>
        <v>13</v>
      </c>
      <c r="C36" s="50">
        <f t="shared" si="5"/>
        <v>40393</v>
      </c>
      <c r="D36" s="61">
        <f t="shared" si="6"/>
        <v>40421</v>
      </c>
      <c r="E36" s="46">
        <f t="shared" si="7"/>
        <v>4</v>
      </c>
      <c r="F36" s="50">
        <f t="shared" si="8"/>
        <v>40407</v>
      </c>
      <c r="G36" s="46">
        <f t="shared" si="9"/>
        <v>168</v>
      </c>
      <c r="H36" s="46">
        <f t="shared" si="10"/>
        <v>672</v>
      </c>
      <c r="I36" s="60">
        <f t="shared" si="11"/>
        <v>88</v>
      </c>
      <c r="J36" s="60">
        <f t="shared" si="12"/>
        <v>543.2</v>
      </c>
      <c r="K36" s="60">
        <f t="shared" si="13"/>
        <v>140</v>
      </c>
      <c r="L36" s="48">
        <f t="shared" si="14"/>
        <v>4.938271604938272</v>
      </c>
      <c r="M36" s="60">
        <f t="shared" si="15"/>
        <v>0</v>
      </c>
      <c r="N36" s="55">
        <f t="shared" si="16"/>
        <v>771.2</v>
      </c>
      <c r="O36" s="60">
        <f t="shared" si="0"/>
        <v>2.1186813186813187</v>
      </c>
      <c r="P36" s="71">
        <f t="shared" si="17"/>
        <v>0.8597504325699746</v>
      </c>
      <c r="Q36" s="72">
        <f>('Initial pressure drop'!$H$73/1000)*Data!$H$24</f>
        <v>0.03997920271416455</v>
      </c>
      <c r="R36" s="73">
        <f t="shared" si="2"/>
        <v>0.8997296352841392</v>
      </c>
      <c r="S36" s="66">
        <f t="shared" si="3"/>
        <v>0.8797400339270569</v>
      </c>
      <c r="T36" s="46">
        <f t="shared" si="18"/>
        <v>32000</v>
      </c>
      <c r="U36" s="59">
        <f t="shared" si="19"/>
        <v>0.72</v>
      </c>
      <c r="V36" s="48">
        <f t="shared" si="20"/>
        <v>6.151598027599866</v>
      </c>
      <c r="W36" s="59">
        <f t="shared" si="21"/>
        <v>0.93</v>
      </c>
      <c r="X36" s="59">
        <f t="shared" si="22"/>
        <v>0.95</v>
      </c>
      <c r="Y36" s="48">
        <f t="shared" si="23"/>
        <v>5.194218594894737</v>
      </c>
      <c r="Z36" s="57">
        <f t="shared" si="24"/>
        <v>0.1</v>
      </c>
      <c r="AA36" s="46">
        <f t="shared" si="25"/>
        <v>3490.5148957692636</v>
      </c>
      <c r="AB36" s="46">
        <f t="shared" si="26"/>
        <v>124.6612462774737</v>
      </c>
      <c r="AC36" s="55">
        <f t="shared" si="27"/>
        <v>349.0514895769264</v>
      </c>
      <c r="AD36" s="55">
        <f t="shared" si="28"/>
        <v>12.466124627747371</v>
      </c>
      <c r="AE36" s="60">
        <f t="shared" si="29"/>
        <v>2.1186813186813187</v>
      </c>
      <c r="AF36" s="60">
        <f t="shared" si="30"/>
        <v>12.466124627747371</v>
      </c>
      <c r="AG36" s="60">
        <f t="shared" si="31"/>
        <v>14.58480594642869</v>
      </c>
      <c r="AH36" s="60">
        <f>'[4]Data'!$AG36</f>
        <v>10.052918385733081</v>
      </c>
      <c r="AI36" s="55">
        <f t="shared" si="32"/>
        <v>349.0514895769264</v>
      </c>
      <c r="AJ36" s="55">
        <f>'[4]Data'!$AC36</f>
        <v>63.7039370227485</v>
      </c>
      <c r="AK36" s="55">
        <f t="shared" si="33"/>
        <v>285.34755255417787</v>
      </c>
      <c r="AL36" s="55">
        <f t="shared" si="34"/>
        <v>3583.224010233294</v>
      </c>
    </row>
    <row r="37" spans="1:38" ht="18">
      <c r="A37" s="16"/>
      <c r="B37" s="46">
        <f t="shared" si="4"/>
        <v>14</v>
      </c>
      <c r="C37" s="50">
        <f t="shared" si="5"/>
        <v>40421</v>
      </c>
      <c r="D37" s="61">
        <f t="shared" si="6"/>
        <v>40449</v>
      </c>
      <c r="E37" s="46">
        <f t="shared" si="7"/>
        <v>4</v>
      </c>
      <c r="F37" s="50">
        <f t="shared" si="8"/>
        <v>40435</v>
      </c>
      <c r="G37" s="46">
        <f t="shared" si="9"/>
        <v>168</v>
      </c>
      <c r="H37" s="46">
        <f t="shared" si="10"/>
        <v>672</v>
      </c>
      <c r="I37" s="60">
        <f t="shared" si="11"/>
        <v>88</v>
      </c>
      <c r="J37" s="60">
        <f t="shared" si="12"/>
        <v>543.2</v>
      </c>
      <c r="K37" s="60">
        <f t="shared" si="13"/>
        <v>140</v>
      </c>
      <c r="L37" s="48">
        <f t="shared" si="14"/>
        <v>4.938271604938272</v>
      </c>
      <c r="M37" s="60">
        <f t="shared" si="15"/>
        <v>0</v>
      </c>
      <c r="N37" s="55">
        <f t="shared" si="16"/>
        <v>771.2</v>
      </c>
      <c r="O37" s="60">
        <f t="shared" si="0"/>
        <v>1.9673469387755103</v>
      </c>
      <c r="P37" s="71">
        <f t="shared" si="17"/>
        <v>0.8997296352841392</v>
      </c>
      <c r="Q37" s="72">
        <f>('Initial pressure drop'!$H$73/1000)*Data!$H$24</f>
        <v>0.03997920271416455</v>
      </c>
      <c r="R37" s="73">
        <f t="shared" si="2"/>
        <v>0.9397088379983037</v>
      </c>
      <c r="S37" s="66">
        <f t="shared" si="3"/>
        <v>0.9197192366412215</v>
      </c>
      <c r="T37" s="46">
        <f t="shared" si="18"/>
        <v>32000</v>
      </c>
      <c r="U37" s="59">
        <f t="shared" si="19"/>
        <v>0.72</v>
      </c>
      <c r="V37" s="48">
        <f t="shared" si="20"/>
        <v>6.431153322433547</v>
      </c>
      <c r="W37" s="59">
        <f t="shared" si="21"/>
        <v>0.93</v>
      </c>
      <c r="X37" s="59">
        <f t="shared" si="22"/>
        <v>0.95</v>
      </c>
      <c r="Y37" s="48">
        <f t="shared" si="23"/>
        <v>5.43026641599935</v>
      </c>
      <c r="Z37" s="57">
        <f t="shared" si="24"/>
        <v>0.1</v>
      </c>
      <c r="AA37" s="46">
        <f t="shared" si="25"/>
        <v>3649.139031551563</v>
      </c>
      <c r="AB37" s="46">
        <f t="shared" si="26"/>
        <v>130.3263939839844</v>
      </c>
      <c r="AC37" s="55">
        <f t="shared" si="27"/>
        <v>364.91390315515633</v>
      </c>
      <c r="AD37" s="55">
        <f t="shared" si="28"/>
        <v>13.032639398398441</v>
      </c>
      <c r="AE37" s="60">
        <f t="shared" si="29"/>
        <v>1.9673469387755103</v>
      </c>
      <c r="AF37" s="60">
        <f t="shared" si="30"/>
        <v>13.032639398398441</v>
      </c>
      <c r="AG37" s="60">
        <f t="shared" si="31"/>
        <v>14.99998633717395</v>
      </c>
      <c r="AH37" s="60">
        <f>'[4]Data'!$AG37</f>
        <v>9.3594246734711</v>
      </c>
      <c r="AI37" s="55">
        <f t="shared" si="32"/>
        <v>364.91390315515633</v>
      </c>
      <c r="AJ37" s="55">
        <f>'[4]Data'!$AC37</f>
        <v>66.06389085719081</v>
      </c>
      <c r="AK37" s="55">
        <f t="shared" si="33"/>
        <v>298.8500122979655</v>
      </c>
      <c r="AL37" s="55">
        <f t="shared" si="34"/>
        <v>3882.0740225312593</v>
      </c>
    </row>
    <row r="38" spans="1:38" ht="18">
      <c r="A38" s="16"/>
      <c r="B38" s="46">
        <f t="shared" si="4"/>
        <v>15</v>
      </c>
      <c r="C38" s="50">
        <f t="shared" si="5"/>
        <v>40449</v>
      </c>
      <c r="D38" s="61">
        <f t="shared" si="6"/>
        <v>40477</v>
      </c>
      <c r="E38" s="46">
        <f t="shared" si="7"/>
        <v>4</v>
      </c>
      <c r="F38" s="50">
        <f t="shared" si="8"/>
        <v>40463</v>
      </c>
      <c r="G38" s="46">
        <f t="shared" si="9"/>
        <v>168</v>
      </c>
      <c r="H38" s="46">
        <f t="shared" si="10"/>
        <v>672</v>
      </c>
      <c r="I38" s="60">
        <f t="shared" si="11"/>
        <v>88</v>
      </c>
      <c r="J38" s="60">
        <f t="shared" si="12"/>
        <v>543.2</v>
      </c>
      <c r="K38" s="60">
        <f t="shared" si="13"/>
        <v>140</v>
      </c>
      <c r="L38" s="48">
        <f t="shared" si="14"/>
        <v>4.938271604938272</v>
      </c>
      <c r="M38" s="60">
        <f t="shared" si="15"/>
        <v>0</v>
      </c>
      <c r="N38" s="55">
        <f t="shared" si="16"/>
        <v>771.2</v>
      </c>
      <c r="O38" s="60">
        <f t="shared" si="0"/>
        <v>1.8361904761904764</v>
      </c>
      <c r="P38" s="71">
        <f t="shared" si="17"/>
        <v>0.9397088379983037</v>
      </c>
      <c r="Q38" s="72">
        <f>('Initial pressure drop'!$H$73/1000)*Data!$H$24</f>
        <v>0.03997920271416455</v>
      </c>
      <c r="R38" s="73">
        <f t="shared" si="2"/>
        <v>0.9796880407124683</v>
      </c>
      <c r="S38" s="66">
        <f t="shared" si="3"/>
        <v>0.959698439355386</v>
      </c>
      <c r="T38" s="46">
        <f t="shared" si="18"/>
        <v>32000</v>
      </c>
      <c r="U38" s="59">
        <f t="shared" si="19"/>
        <v>0.72</v>
      </c>
      <c r="V38" s="48">
        <f t="shared" si="20"/>
        <v>6.710708617267226</v>
      </c>
      <c r="W38" s="59">
        <f t="shared" si="21"/>
        <v>0.93</v>
      </c>
      <c r="X38" s="59">
        <f t="shared" si="22"/>
        <v>0.95</v>
      </c>
      <c r="Y38" s="48">
        <f t="shared" si="23"/>
        <v>5.666314237103962</v>
      </c>
      <c r="Z38" s="57">
        <f t="shared" si="24"/>
        <v>0.1</v>
      </c>
      <c r="AA38" s="46">
        <f t="shared" si="25"/>
        <v>3807.7631673338624</v>
      </c>
      <c r="AB38" s="46">
        <f t="shared" si="26"/>
        <v>135.9915416904951</v>
      </c>
      <c r="AC38" s="55">
        <f t="shared" si="27"/>
        <v>380.77631673338624</v>
      </c>
      <c r="AD38" s="55">
        <f t="shared" si="28"/>
        <v>13.599154169049509</v>
      </c>
      <c r="AE38" s="60">
        <f t="shared" si="29"/>
        <v>1.8361904761904764</v>
      </c>
      <c r="AF38" s="60">
        <f t="shared" si="30"/>
        <v>13.599154169049509</v>
      </c>
      <c r="AG38" s="60">
        <f t="shared" si="31"/>
        <v>15.435344645239985</v>
      </c>
      <c r="AH38" s="60">
        <f>'[4]Data'!$AG38</f>
        <v>8.807345102623263</v>
      </c>
      <c r="AI38" s="55">
        <f t="shared" si="32"/>
        <v>380.77631673338624</v>
      </c>
      <c r="AJ38" s="55">
        <f>'[4]Data'!$AC38</f>
        <v>68.42384469163315</v>
      </c>
      <c r="AK38" s="55">
        <f t="shared" si="33"/>
        <v>312.3524720417531</v>
      </c>
      <c r="AL38" s="55">
        <f t="shared" si="34"/>
        <v>4194.426494573012</v>
      </c>
    </row>
    <row r="39" spans="1:38" ht="18">
      <c r="A39" s="16"/>
      <c r="B39" s="46">
        <f t="shared" si="4"/>
        <v>16</v>
      </c>
      <c r="C39" s="50">
        <f t="shared" si="5"/>
        <v>40477</v>
      </c>
      <c r="D39" s="61">
        <f t="shared" si="6"/>
        <v>40505</v>
      </c>
      <c r="E39" s="46">
        <f t="shared" si="7"/>
        <v>4</v>
      </c>
      <c r="F39" s="50">
        <f t="shared" si="8"/>
        <v>40491</v>
      </c>
      <c r="G39" s="46">
        <f t="shared" si="9"/>
        <v>168</v>
      </c>
      <c r="H39" s="46">
        <f t="shared" si="10"/>
        <v>672</v>
      </c>
      <c r="I39" s="60">
        <f t="shared" si="11"/>
        <v>88</v>
      </c>
      <c r="J39" s="60">
        <f t="shared" si="12"/>
        <v>543.2</v>
      </c>
      <c r="K39" s="60">
        <f t="shared" si="13"/>
        <v>140</v>
      </c>
      <c r="L39" s="48">
        <f t="shared" si="14"/>
        <v>4.938271604938272</v>
      </c>
      <c r="M39" s="60">
        <f t="shared" si="15"/>
        <v>0</v>
      </c>
      <c r="N39" s="55">
        <f t="shared" si="16"/>
        <v>771.2</v>
      </c>
      <c r="O39" s="60">
        <f t="shared" si="0"/>
        <v>1.7214285714285715</v>
      </c>
      <c r="P39" s="71">
        <f t="shared" si="17"/>
        <v>0.9796880407124683</v>
      </c>
      <c r="Q39" s="72">
        <f>('Initial pressure drop'!$H$73/1000)*Data!$H$24</f>
        <v>0.03997920271416455</v>
      </c>
      <c r="R39" s="73">
        <f t="shared" si="2"/>
        <v>1.0196672434266327</v>
      </c>
      <c r="S39" s="66">
        <f t="shared" si="3"/>
        <v>0.9996776420695506</v>
      </c>
      <c r="T39" s="46">
        <f t="shared" si="18"/>
        <v>32000</v>
      </c>
      <c r="U39" s="59">
        <f t="shared" si="19"/>
        <v>0.72</v>
      </c>
      <c r="V39" s="48">
        <f t="shared" si="20"/>
        <v>6.9902639121009065</v>
      </c>
      <c r="W39" s="59">
        <f t="shared" si="21"/>
        <v>0.93</v>
      </c>
      <c r="X39" s="59">
        <f t="shared" si="22"/>
        <v>0.95</v>
      </c>
      <c r="Y39" s="48">
        <f t="shared" si="23"/>
        <v>5.902362058208575</v>
      </c>
      <c r="Z39" s="57">
        <f t="shared" si="24"/>
        <v>0.1</v>
      </c>
      <c r="AA39" s="46">
        <f t="shared" si="25"/>
        <v>3966.3873031161625</v>
      </c>
      <c r="AB39" s="46">
        <f t="shared" si="26"/>
        <v>141.6566893970058</v>
      </c>
      <c r="AC39" s="55">
        <f t="shared" si="27"/>
        <v>396.63873031161626</v>
      </c>
      <c r="AD39" s="55">
        <f t="shared" si="28"/>
        <v>14.16566893970058</v>
      </c>
      <c r="AE39" s="60">
        <f t="shared" si="29"/>
        <v>1.7214285714285715</v>
      </c>
      <c r="AF39" s="60">
        <f t="shared" si="30"/>
        <v>14.16566893970058</v>
      </c>
      <c r="AG39" s="60">
        <f t="shared" si="31"/>
        <v>15.887097511129152</v>
      </c>
      <c r="AH39" s="60">
        <f>'[4]Data'!$AG39</f>
        <v>8.361326137836029</v>
      </c>
      <c r="AI39" s="55">
        <f t="shared" si="32"/>
        <v>396.63873031161626</v>
      </c>
      <c r="AJ39" s="55">
        <f>'[4]Data'!$AC39</f>
        <v>70.78379852607547</v>
      </c>
      <c r="AK39" s="55">
        <f t="shared" si="33"/>
        <v>325.85493178554077</v>
      </c>
      <c r="AL39" s="55">
        <f t="shared" si="34"/>
        <v>4520.281426358552</v>
      </c>
    </row>
    <row r="40" spans="1:38" ht="18">
      <c r="A40" s="16"/>
      <c r="B40" s="46">
        <f t="shared" si="4"/>
        <v>17</v>
      </c>
      <c r="C40" s="50">
        <f t="shared" si="5"/>
        <v>40505</v>
      </c>
      <c r="D40" s="61">
        <f t="shared" si="6"/>
        <v>40533</v>
      </c>
      <c r="E40" s="46">
        <f t="shared" si="7"/>
        <v>4</v>
      </c>
      <c r="F40" s="50">
        <f t="shared" si="8"/>
        <v>40519</v>
      </c>
      <c r="G40" s="46">
        <f t="shared" si="9"/>
        <v>168</v>
      </c>
      <c r="H40" s="46">
        <f t="shared" si="10"/>
        <v>672</v>
      </c>
      <c r="I40" s="60">
        <f t="shared" si="11"/>
        <v>88</v>
      </c>
      <c r="J40" s="60">
        <f t="shared" si="12"/>
        <v>543.2</v>
      </c>
      <c r="K40" s="60">
        <f t="shared" si="13"/>
        <v>140</v>
      </c>
      <c r="L40" s="48">
        <f t="shared" si="14"/>
        <v>4.938271604938272</v>
      </c>
      <c r="M40" s="60">
        <f t="shared" si="15"/>
        <v>0</v>
      </c>
      <c r="N40" s="55">
        <f t="shared" si="16"/>
        <v>771.2</v>
      </c>
      <c r="O40" s="60">
        <f t="shared" si="0"/>
        <v>1.6201680672268908</v>
      </c>
      <c r="P40" s="71">
        <f t="shared" si="17"/>
        <v>1.0196672434266327</v>
      </c>
      <c r="Q40" s="72">
        <f>('Initial pressure drop'!$H$73/1000)*Data!$H$24</f>
        <v>0.03997920271416455</v>
      </c>
      <c r="R40" s="73">
        <f t="shared" si="2"/>
        <v>1.0596464461407973</v>
      </c>
      <c r="S40" s="66">
        <f t="shared" si="3"/>
        <v>1.039656844783715</v>
      </c>
      <c r="T40" s="46">
        <f t="shared" si="18"/>
        <v>32000</v>
      </c>
      <c r="U40" s="59">
        <f t="shared" si="19"/>
        <v>0.72</v>
      </c>
      <c r="V40" s="48">
        <f t="shared" si="20"/>
        <v>7.269819206934584</v>
      </c>
      <c r="W40" s="59">
        <f t="shared" si="21"/>
        <v>0.93</v>
      </c>
      <c r="X40" s="59">
        <f t="shared" si="22"/>
        <v>0.95</v>
      </c>
      <c r="Y40" s="48">
        <f t="shared" si="23"/>
        <v>6.138409879313187</v>
      </c>
      <c r="Z40" s="57">
        <f t="shared" si="24"/>
        <v>0.1</v>
      </c>
      <c r="AA40" s="46">
        <f t="shared" si="25"/>
        <v>4125.011438898462</v>
      </c>
      <c r="AB40" s="46">
        <f t="shared" si="26"/>
        <v>147.32183710351651</v>
      </c>
      <c r="AC40" s="55">
        <f t="shared" si="27"/>
        <v>412.5011438898462</v>
      </c>
      <c r="AD40" s="55">
        <f t="shared" si="28"/>
        <v>14.73218371035165</v>
      </c>
      <c r="AE40" s="60">
        <f t="shared" si="29"/>
        <v>1.6201680672268908</v>
      </c>
      <c r="AF40" s="60">
        <f t="shared" si="30"/>
        <v>14.73218371035165</v>
      </c>
      <c r="AG40" s="60">
        <f t="shared" si="31"/>
        <v>16.35235177757854</v>
      </c>
      <c r="AH40" s="60">
        <f>'[4]Data'!$AG40</f>
        <v>7.996892254633879</v>
      </c>
      <c r="AI40" s="55">
        <f t="shared" si="32"/>
        <v>412.5011438898462</v>
      </c>
      <c r="AJ40" s="55">
        <f>'[4]Data'!$AC40</f>
        <v>73.14375236051782</v>
      </c>
      <c r="AK40" s="55">
        <f t="shared" si="33"/>
        <v>339.3573915293284</v>
      </c>
      <c r="AL40" s="55">
        <f t="shared" si="34"/>
        <v>4859.638817887881</v>
      </c>
    </row>
    <row r="41" spans="1:38" ht="18">
      <c r="A41" s="16"/>
      <c r="B41" s="46">
        <f t="shared" si="4"/>
        <v>18</v>
      </c>
      <c r="C41" s="50">
        <f t="shared" si="5"/>
        <v>40533</v>
      </c>
      <c r="D41" s="61">
        <f t="shared" si="6"/>
        <v>40561</v>
      </c>
      <c r="E41" s="46">
        <f t="shared" si="7"/>
        <v>4</v>
      </c>
      <c r="F41" s="50">
        <f t="shared" si="8"/>
        <v>40547</v>
      </c>
      <c r="G41" s="46">
        <f t="shared" si="9"/>
        <v>168</v>
      </c>
      <c r="H41" s="46">
        <f t="shared" si="10"/>
        <v>672</v>
      </c>
      <c r="I41" s="60">
        <f t="shared" si="11"/>
        <v>88</v>
      </c>
      <c r="J41" s="60">
        <f t="shared" si="12"/>
        <v>543.2</v>
      </c>
      <c r="K41" s="60">
        <f t="shared" si="13"/>
        <v>140</v>
      </c>
      <c r="L41" s="48">
        <f t="shared" si="14"/>
        <v>4.938271604938272</v>
      </c>
      <c r="M41" s="60">
        <f t="shared" si="15"/>
        <v>0</v>
      </c>
      <c r="N41" s="55">
        <f t="shared" si="16"/>
        <v>771.2</v>
      </c>
      <c r="O41" s="60">
        <f t="shared" si="0"/>
        <v>1.5301587301587303</v>
      </c>
      <c r="P41" s="71">
        <f t="shared" si="17"/>
        <v>1.0596464461407973</v>
      </c>
      <c r="Q41" s="72">
        <f>('Initial pressure drop'!$H$73/1000)*Data!$H$24</f>
        <v>0.03997920271416455</v>
      </c>
      <c r="R41" s="73">
        <f t="shared" si="2"/>
        <v>1.0996256488549618</v>
      </c>
      <c r="S41" s="66">
        <f t="shared" si="3"/>
        <v>1.0796360474978797</v>
      </c>
      <c r="T41" s="46">
        <f t="shared" si="18"/>
        <v>32000</v>
      </c>
      <c r="U41" s="59">
        <f t="shared" si="19"/>
        <v>0.72</v>
      </c>
      <c r="V41" s="48">
        <f t="shared" si="20"/>
        <v>7.549374501768266</v>
      </c>
      <c r="W41" s="59">
        <f t="shared" si="21"/>
        <v>0.93</v>
      </c>
      <c r="X41" s="59">
        <f t="shared" si="22"/>
        <v>0.95</v>
      </c>
      <c r="Y41" s="48">
        <f t="shared" si="23"/>
        <v>6.374457700417801</v>
      </c>
      <c r="Z41" s="57">
        <f t="shared" si="24"/>
        <v>0.1</v>
      </c>
      <c r="AA41" s="46">
        <f t="shared" si="25"/>
        <v>4283.635574680762</v>
      </c>
      <c r="AB41" s="46">
        <f t="shared" si="26"/>
        <v>152.98698481002722</v>
      </c>
      <c r="AC41" s="55">
        <f t="shared" si="27"/>
        <v>428.36355746807624</v>
      </c>
      <c r="AD41" s="55">
        <f t="shared" si="28"/>
        <v>15.298698481002722</v>
      </c>
      <c r="AE41" s="60">
        <f t="shared" si="29"/>
        <v>1.5301587301587303</v>
      </c>
      <c r="AF41" s="60">
        <f t="shared" si="30"/>
        <v>15.298698481002722</v>
      </c>
      <c r="AG41" s="60">
        <f t="shared" si="31"/>
        <v>16.828857211161452</v>
      </c>
      <c r="AH41" s="60">
        <f>'[4]Data'!$AG41</f>
        <v>7.69656093553429</v>
      </c>
      <c r="AI41" s="55">
        <f t="shared" si="32"/>
        <v>428.36355746807624</v>
      </c>
      <c r="AJ41" s="55">
        <f>'[4]Data'!$AC41</f>
        <v>75.5037061949601</v>
      </c>
      <c r="AK41" s="55">
        <f t="shared" si="33"/>
        <v>352.85985127311613</v>
      </c>
      <c r="AL41" s="55">
        <f t="shared" si="34"/>
        <v>5212.4986691609965</v>
      </c>
    </row>
    <row r="42" spans="1:38" ht="18">
      <c r="A42" s="16"/>
      <c r="B42" s="46">
        <f t="shared" si="4"/>
        <v>19</v>
      </c>
      <c r="C42" s="50">
        <f t="shared" si="5"/>
        <v>40561</v>
      </c>
      <c r="D42" s="61">
        <f t="shared" si="6"/>
        <v>40589</v>
      </c>
      <c r="E42" s="46">
        <f t="shared" si="7"/>
        <v>4</v>
      </c>
      <c r="F42" s="50">
        <f t="shared" si="8"/>
        <v>40575</v>
      </c>
      <c r="G42" s="46">
        <f t="shared" si="9"/>
        <v>168</v>
      </c>
      <c r="H42" s="46">
        <f t="shared" si="10"/>
        <v>672</v>
      </c>
      <c r="I42" s="60">
        <f t="shared" si="11"/>
        <v>88</v>
      </c>
      <c r="J42" s="60">
        <f t="shared" si="12"/>
        <v>543.2</v>
      </c>
      <c r="K42" s="60">
        <f t="shared" si="13"/>
        <v>140</v>
      </c>
      <c r="L42" s="48">
        <f t="shared" si="14"/>
        <v>4.938271604938272</v>
      </c>
      <c r="M42" s="60">
        <f t="shared" si="15"/>
        <v>0</v>
      </c>
      <c r="N42" s="55">
        <f t="shared" si="16"/>
        <v>771.2</v>
      </c>
      <c r="O42" s="60">
        <f t="shared" si="0"/>
        <v>1.449624060150376</v>
      </c>
      <c r="P42" s="71">
        <f t="shared" si="17"/>
        <v>1.0996256488549618</v>
      </c>
      <c r="Q42" s="72">
        <f>('Initial pressure drop'!$H$73/1000)*Data!$H$24</f>
        <v>0.03997920271416455</v>
      </c>
      <c r="R42" s="73">
        <f t="shared" si="2"/>
        <v>1.1396048515691264</v>
      </c>
      <c r="S42" s="66">
        <f t="shared" si="3"/>
        <v>1.119615250212044</v>
      </c>
      <c r="T42" s="46">
        <f t="shared" si="18"/>
        <v>32000</v>
      </c>
      <c r="U42" s="59">
        <f t="shared" si="19"/>
        <v>0.72</v>
      </c>
      <c r="V42" s="48">
        <f t="shared" si="20"/>
        <v>7.828929796601944</v>
      </c>
      <c r="W42" s="59">
        <f t="shared" si="21"/>
        <v>0.93</v>
      </c>
      <c r="X42" s="59">
        <f t="shared" si="22"/>
        <v>0.95</v>
      </c>
      <c r="Y42" s="48">
        <f t="shared" si="23"/>
        <v>6.610505521522412</v>
      </c>
      <c r="Z42" s="57">
        <f t="shared" si="24"/>
        <v>0.1</v>
      </c>
      <c r="AA42" s="46">
        <f t="shared" si="25"/>
        <v>4442.25971046306</v>
      </c>
      <c r="AB42" s="46">
        <f t="shared" si="26"/>
        <v>158.65213251653788</v>
      </c>
      <c r="AC42" s="55">
        <f t="shared" si="27"/>
        <v>444.2259710463061</v>
      </c>
      <c r="AD42" s="55">
        <f t="shared" si="28"/>
        <v>15.865213251653788</v>
      </c>
      <c r="AE42" s="60">
        <f t="shared" si="29"/>
        <v>1.449624060150376</v>
      </c>
      <c r="AF42" s="60">
        <f t="shared" si="30"/>
        <v>15.865213251653788</v>
      </c>
      <c r="AG42" s="60">
        <f t="shared" si="31"/>
        <v>17.314837311804165</v>
      </c>
      <c r="AH42" s="60">
        <f>'[4]Data'!$AG42</f>
        <v>7.447511667716755</v>
      </c>
      <c r="AI42" s="55">
        <f t="shared" si="32"/>
        <v>444.2259710463061</v>
      </c>
      <c r="AJ42" s="55">
        <f>'[4]Data'!$AC42</f>
        <v>77.86366002940247</v>
      </c>
      <c r="AK42" s="55">
        <f t="shared" si="33"/>
        <v>366.3623110169036</v>
      </c>
      <c r="AL42" s="55">
        <f t="shared" si="34"/>
        <v>5578.8609801779</v>
      </c>
    </row>
    <row r="43" spans="1:38" ht="18">
      <c r="A43" s="16"/>
      <c r="B43" s="46">
        <f t="shared" si="4"/>
        <v>20</v>
      </c>
      <c r="C43" s="50">
        <f t="shared" si="5"/>
        <v>40589</v>
      </c>
      <c r="D43" s="61">
        <f t="shared" si="6"/>
        <v>40617</v>
      </c>
      <c r="E43" s="46">
        <f t="shared" si="7"/>
        <v>4</v>
      </c>
      <c r="F43" s="50">
        <f t="shared" si="8"/>
        <v>40603</v>
      </c>
      <c r="G43" s="46">
        <f t="shared" si="9"/>
        <v>168</v>
      </c>
      <c r="H43" s="46">
        <f t="shared" si="10"/>
        <v>672</v>
      </c>
      <c r="I43" s="60">
        <f t="shared" si="11"/>
        <v>88</v>
      </c>
      <c r="J43" s="60">
        <f t="shared" si="12"/>
        <v>543.2</v>
      </c>
      <c r="K43" s="60">
        <f t="shared" si="13"/>
        <v>140</v>
      </c>
      <c r="L43" s="48">
        <f t="shared" si="14"/>
        <v>4.938271604938272</v>
      </c>
      <c r="M43" s="60">
        <f t="shared" si="15"/>
        <v>0</v>
      </c>
      <c r="N43" s="55">
        <f t="shared" si="16"/>
        <v>771.2</v>
      </c>
      <c r="O43" s="60">
        <f t="shared" si="0"/>
        <v>1.3771428571428572</v>
      </c>
      <c r="P43" s="71">
        <f t="shared" si="17"/>
        <v>1.1396048515691264</v>
      </c>
      <c r="Q43" s="72">
        <f>('Initial pressure drop'!$H$73/1000)*Data!$H$24</f>
        <v>0.03997920271416455</v>
      </c>
      <c r="R43" s="73">
        <f t="shared" si="2"/>
        <v>1.179584054283291</v>
      </c>
      <c r="S43" s="66">
        <f t="shared" si="3"/>
        <v>1.1595944529262088</v>
      </c>
      <c r="T43" s="46">
        <f t="shared" si="18"/>
        <v>32000</v>
      </c>
      <c r="U43" s="59">
        <f t="shared" si="19"/>
        <v>0.72</v>
      </c>
      <c r="V43" s="48">
        <f t="shared" si="20"/>
        <v>8.108485091435625</v>
      </c>
      <c r="W43" s="59">
        <f t="shared" si="21"/>
        <v>0.93</v>
      </c>
      <c r="X43" s="59">
        <f t="shared" si="22"/>
        <v>0.95</v>
      </c>
      <c r="Y43" s="48">
        <f t="shared" si="23"/>
        <v>6.846553342627025</v>
      </c>
      <c r="Z43" s="57">
        <f t="shared" si="24"/>
        <v>0.1</v>
      </c>
      <c r="AA43" s="46">
        <f t="shared" si="25"/>
        <v>4600.8838462453605</v>
      </c>
      <c r="AB43" s="46">
        <f t="shared" si="26"/>
        <v>164.31728022304858</v>
      </c>
      <c r="AC43" s="55">
        <f t="shared" si="27"/>
        <v>460.08838462453605</v>
      </c>
      <c r="AD43" s="55">
        <f t="shared" si="28"/>
        <v>16.43172802230486</v>
      </c>
      <c r="AE43" s="60">
        <f t="shared" si="29"/>
        <v>1.3771428571428572</v>
      </c>
      <c r="AF43" s="60">
        <f t="shared" si="30"/>
        <v>16.43172802230486</v>
      </c>
      <c r="AG43" s="60">
        <f t="shared" si="31"/>
        <v>17.808870879447717</v>
      </c>
      <c r="AH43" s="60">
        <f>'[4]Data'!$AG43</f>
        <v>7.240129066565885</v>
      </c>
      <c r="AI43" s="55">
        <f t="shared" si="32"/>
        <v>460.08838462453605</v>
      </c>
      <c r="AJ43" s="55">
        <f>'[4]Data'!$AC43</f>
        <v>80.22361386384478</v>
      </c>
      <c r="AK43" s="55">
        <f t="shared" si="33"/>
        <v>379.8647707606913</v>
      </c>
      <c r="AL43" s="55">
        <f t="shared" si="34"/>
        <v>5958.725750938592</v>
      </c>
    </row>
    <row r="44" spans="1:38" ht="18">
      <c r="A44" s="16"/>
      <c r="B44" s="46">
        <f t="shared" si="4"/>
        <v>21</v>
      </c>
      <c r="C44" s="50">
        <f t="shared" si="5"/>
        <v>40617</v>
      </c>
      <c r="D44" s="61">
        <f t="shared" si="6"/>
        <v>40645</v>
      </c>
      <c r="E44" s="46">
        <f t="shared" si="7"/>
        <v>4</v>
      </c>
      <c r="F44" s="50">
        <f t="shared" si="8"/>
        <v>40631</v>
      </c>
      <c r="G44" s="46">
        <f t="shared" si="9"/>
        <v>168</v>
      </c>
      <c r="H44" s="46">
        <f t="shared" si="10"/>
        <v>672</v>
      </c>
      <c r="I44" s="60">
        <f t="shared" si="11"/>
        <v>88</v>
      </c>
      <c r="J44" s="60">
        <f t="shared" si="12"/>
        <v>543.2</v>
      </c>
      <c r="K44" s="60">
        <f t="shared" si="13"/>
        <v>140</v>
      </c>
      <c r="L44" s="48">
        <f t="shared" si="14"/>
        <v>4.938271604938272</v>
      </c>
      <c r="M44" s="60">
        <f t="shared" si="15"/>
        <v>0</v>
      </c>
      <c r="N44" s="55">
        <f t="shared" si="16"/>
        <v>771.2</v>
      </c>
      <c r="O44" s="60">
        <f t="shared" si="0"/>
        <v>1.3115646258503402</v>
      </c>
      <c r="P44" s="71">
        <f t="shared" si="17"/>
        <v>1.179584054283291</v>
      </c>
      <c r="Q44" s="72">
        <f>('Initial pressure drop'!$H$73/1000)*Data!$H$24</f>
        <v>0.03997920271416455</v>
      </c>
      <c r="R44" s="73">
        <f t="shared" si="2"/>
        <v>1.2195632569974555</v>
      </c>
      <c r="S44" s="66">
        <f t="shared" si="3"/>
        <v>1.199573655640373</v>
      </c>
      <c r="T44" s="46">
        <f t="shared" si="18"/>
        <v>32000</v>
      </c>
      <c r="U44" s="59">
        <f t="shared" si="19"/>
        <v>0.72</v>
      </c>
      <c r="V44" s="48">
        <f t="shared" si="20"/>
        <v>8.388040386269305</v>
      </c>
      <c r="W44" s="59">
        <f t="shared" si="21"/>
        <v>0.93</v>
      </c>
      <c r="X44" s="59">
        <f t="shared" si="22"/>
        <v>0.95</v>
      </c>
      <c r="Y44" s="48">
        <f t="shared" si="23"/>
        <v>7.082601163731637</v>
      </c>
      <c r="Z44" s="57">
        <f t="shared" si="24"/>
        <v>0.1</v>
      </c>
      <c r="AA44" s="46">
        <f t="shared" si="25"/>
        <v>4759.50798202766</v>
      </c>
      <c r="AB44" s="46">
        <f t="shared" si="26"/>
        <v>169.98242792955926</v>
      </c>
      <c r="AC44" s="55">
        <f t="shared" si="27"/>
        <v>475.950798202766</v>
      </c>
      <c r="AD44" s="55">
        <f t="shared" si="28"/>
        <v>16.998242792955928</v>
      </c>
      <c r="AE44" s="60">
        <f t="shared" si="29"/>
        <v>1.3115646258503402</v>
      </c>
      <c r="AF44" s="60">
        <f t="shared" si="30"/>
        <v>16.998242792955928</v>
      </c>
      <c r="AG44" s="60">
        <f t="shared" si="31"/>
        <v>18.30980741880627</v>
      </c>
      <c r="AH44" s="60">
        <f>'[4]Data'!$AG44</f>
        <v>7.067060190905211</v>
      </c>
      <c r="AI44" s="55">
        <f t="shared" si="32"/>
        <v>475.950798202766</v>
      </c>
      <c r="AJ44" s="55">
        <f>'[4]Data'!$AC44</f>
        <v>82.58356769828711</v>
      </c>
      <c r="AK44" s="55">
        <f t="shared" si="33"/>
        <v>393.3672305044789</v>
      </c>
      <c r="AL44" s="55">
        <f t="shared" si="34"/>
        <v>6352.092981443071</v>
      </c>
    </row>
    <row r="45" spans="1:38" ht="18">
      <c r="A45" s="16"/>
      <c r="B45" s="46">
        <f t="shared" si="4"/>
        <v>22</v>
      </c>
      <c r="C45" s="50">
        <f t="shared" si="5"/>
        <v>40645</v>
      </c>
      <c r="D45" s="61">
        <f t="shared" si="6"/>
        <v>40673</v>
      </c>
      <c r="E45" s="46">
        <f t="shared" si="7"/>
        <v>4</v>
      </c>
      <c r="F45" s="50">
        <f t="shared" si="8"/>
        <v>40659</v>
      </c>
      <c r="G45" s="46">
        <f t="shared" si="9"/>
        <v>168</v>
      </c>
      <c r="H45" s="46">
        <f t="shared" si="10"/>
        <v>672</v>
      </c>
      <c r="I45" s="60">
        <f t="shared" si="11"/>
        <v>88</v>
      </c>
      <c r="J45" s="60">
        <f t="shared" si="12"/>
        <v>543.2</v>
      </c>
      <c r="K45" s="60">
        <f t="shared" si="13"/>
        <v>140</v>
      </c>
      <c r="L45" s="48">
        <f t="shared" si="14"/>
        <v>4.938271604938272</v>
      </c>
      <c r="M45" s="60">
        <f t="shared" si="15"/>
        <v>0</v>
      </c>
      <c r="N45" s="55">
        <f t="shared" si="16"/>
        <v>771.2</v>
      </c>
      <c r="O45" s="60">
        <f t="shared" si="0"/>
        <v>1.251948051948052</v>
      </c>
      <c r="P45" s="71">
        <f t="shared" si="17"/>
        <v>1.2195632569974555</v>
      </c>
      <c r="Q45" s="72">
        <f>('Initial pressure drop'!$H$73/1000)*Data!$H$24</f>
        <v>0.03997920271416455</v>
      </c>
      <c r="R45" s="73">
        <f t="shared" si="2"/>
        <v>1.25954245971162</v>
      </c>
      <c r="S45" s="66">
        <f t="shared" si="3"/>
        <v>1.2395528583545379</v>
      </c>
      <c r="T45" s="46">
        <f t="shared" si="18"/>
        <v>32000</v>
      </c>
      <c r="U45" s="59">
        <f t="shared" si="19"/>
        <v>0.72</v>
      </c>
      <c r="V45" s="48">
        <f t="shared" si="20"/>
        <v>8.667595681102986</v>
      </c>
      <c r="W45" s="59">
        <f t="shared" si="21"/>
        <v>0.93</v>
      </c>
      <c r="X45" s="59">
        <f t="shared" si="22"/>
        <v>0.95</v>
      </c>
      <c r="Y45" s="48">
        <f t="shared" si="23"/>
        <v>7.318648984836251</v>
      </c>
      <c r="Z45" s="57">
        <f t="shared" si="24"/>
        <v>0.1</v>
      </c>
      <c r="AA45" s="46">
        <f t="shared" si="25"/>
        <v>4918.132117809961</v>
      </c>
      <c r="AB45" s="46">
        <f t="shared" si="26"/>
        <v>175.64757563607003</v>
      </c>
      <c r="AC45" s="55">
        <f t="shared" si="27"/>
        <v>491.8132117809961</v>
      </c>
      <c r="AD45" s="55">
        <f t="shared" si="28"/>
        <v>17.564757563607003</v>
      </c>
      <c r="AE45" s="60">
        <f t="shared" si="29"/>
        <v>1.251948051948052</v>
      </c>
      <c r="AF45" s="60">
        <f t="shared" si="30"/>
        <v>17.564757563607003</v>
      </c>
      <c r="AG45" s="60">
        <f t="shared" si="31"/>
        <v>18.816705615555055</v>
      </c>
      <c r="AH45" s="60">
        <f>'[4]Data'!$AG45</f>
        <v>6.922586086486368</v>
      </c>
      <c r="AI45" s="55">
        <f t="shared" si="32"/>
        <v>491.8132117809961</v>
      </c>
      <c r="AJ45" s="55">
        <f>'[4]Data'!$AC45</f>
        <v>84.94352153272942</v>
      </c>
      <c r="AK45" s="55">
        <f t="shared" si="33"/>
        <v>406.8696902482667</v>
      </c>
      <c r="AL45" s="55">
        <f t="shared" si="34"/>
        <v>6758.962671691338</v>
      </c>
    </row>
    <row r="46" spans="1:38" ht="18">
      <c r="A46" s="16"/>
      <c r="B46" s="46">
        <f t="shared" si="4"/>
        <v>23</v>
      </c>
      <c r="C46" s="50">
        <f t="shared" si="5"/>
        <v>40673</v>
      </c>
      <c r="D46" s="61">
        <f t="shared" si="6"/>
        <v>40701</v>
      </c>
      <c r="E46" s="46">
        <f t="shared" si="7"/>
        <v>4</v>
      </c>
      <c r="F46" s="50">
        <f t="shared" si="8"/>
        <v>40687</v>
      </c>
      <c r="G46" s="46">
        <f t="shared" si="9"/>
        <v>168</v>
      </c>
      <c r="H46" s="46">
        <f t="shared" si="10"/>
        <v>672</v>
      </c>
      <c r="I46" s="60">
        <f t="shared" si="11"/>
        <v>88</v>
      </c>
      <c r="J46" s="60">
        <f t="shared" si="12"/>
        <v>543.2</v>
      </c>
      <c r="K46" s="60">
        <f t="shared" si="13"/>
        <v>140</v>
      </c>
      <c r="L46" s="48">
        <f t="shared" si="14"/>
        <v>4.938271604938272</v>
      </c>
      <c r="M46" s="60">
        <f t="shared" si="15"/>
        <v>0</v>
      </c>
      <c r="N46" s="55">
        <f t="shared" si="16"/>
        <v>771.2</v>
      </c>
      <c r="O46" s="60">
        <f t="shared" si="0"/>
        <v>1.1975155279503107</v>
      </c>
      <c r="P46" s="71">
        <f t="shared" si="17"/>
        <v>1.25954245971162</v>
      </c>
      <c r="Q46" s="72">
        <f>('Initial pressure drop'!$H$73/1000)*Data!$H$24</f>
        <v>0.03997920271416455</v>
      </c>
      <c r="R46" s="73">
        <f t="shared" si="2"/>
        <v>1.2995216624257846</v>
      </c>
      <c r="S46" s="66">
        <f t="shared" si="3"/>
        <v>1.2795320610687022</v>
      </c>
      <c r="T46" s="46">
        <f t="shared" si="18"/>
        <v>32000</v>
      </c>
      <c r="U46" s="59">
        <f t="shared" si="19"/>
        <v>0.72</v>
      </c>
      <c r="V46" s="48">
        <f t="shared" si="20"/>
        <v>8.947150975936664</v>
      </c>
      <c r="W46" s="59">
        <f t="shared" si="21"/>
        <v>0.93</v>
      </c>
      <c r="X46" s="59">
        <f t="shared" si="22"/>
        <v>0.95</v>
      </c>
      <c r="Y46" s="48">
        <f t="shared" si="23"/>
        <v>7.554696805940862</v>
      </c>
      <c r="Z46" s="57">
        <f t="shared" si="24"/>
        <v>0.1</v>
      </c>
      <c r="AA46" s="46">
        <f t="shared" si="25"/>
        <v>5076.75625359226</v>
      </c>
      <c r="AB46" s="46">
        <f t="shared" si="26"/>
        <v>181.3127233425807</v>
      </c>
      <c r="AC46" s="55">
        <f t="shared" si="27"/>
        <v>507.675625359226</v>
      </c>
      <c r="AD46" s="55">
        <f t="shared" si="28"/>
        <v>18.13127233425807</v>
      </c>
      <c r="AE46" s="60">
        <f t="shared" si="29"/>
        <v>1.1975155279503107</v>
      </c>
      <c r="AF46" s="60">
        <f t="shared" si="30"/>
        <v>18.13127233425807</v>
      </c>
      <c r="AG46" s="60">
        <f t="shared" si="31"/>
        <v>19.328787862208383</v>
      </c>
      <c r="AH46" s="60">
        <f>'[4]Data'!$AG46</f>
        <v>6.802191789429067</v>
      </c>
      <c r="AI46" s="55">
        <f>AC46+N24</f>
        <v>1278.875625359226</v>
      </c>
      <c r="AJ46" s="55">
        <f>'[4]Data'!$AC46</f>
        <v>87.30347536717176</v>
      </c>
      <c r="AK46" s="55">
        <f t="shared" si="33"/>
        <v>1191.5721499920542</v>
      </c>
      <c r="AL46" s="55">
        <f t="shared" si="34"/>
        <v>7950.534821683392</v>
      </c>
    </row>
    <row r="47" spans="1:38" s="78" customFormat="1" ht="18">
      <c r="A47" s="88"/>
      <c r="B47" s="89">
        <f t="shared" si="4"/>
        <v>24</v>
      </c>
      <c r="C47" s="90">
        <f t="shared" si="5"/>
        <v>40701</v>
      </c>
      <c r="D47" s="90">
        <f t="shared" si="6"/>
        <v>40729</v>
      </c>
      <c r="E47" s="89">
        <f t="shared" si="7"/>
        <v>4</v>
      </c>
      <c r="F47" s="90">
        <f t="shared" si="8"/>
        <v>40715</v>
      </c>
      <c r="G47" s="89">
        <f t="shared" si="9"/>
        <v>168</v>
      </c>
      <c r="H47" s="89">
        <f t="shared" si="10"/>
        <v>672</v>
      </c>
      <c r="I47" s="91">
        <f>I46*2</f>
        <v>176</v>
      </c>
      <c r="J47" s="91">
        <f>J46*2</f>
        <v>1086.4</v>
      </c>
      <c r="K47" s="91">
        <f>K46*2</f>
        <v>280</v>
      </c>
      <c r="L47" s="92">
        <f>L46*2</f>
        <v>9.876543209876544</v>
      </c>
      <c r="M47" s="91">
        <f>M46*2</f>
        <v>0</v>
      </c>
      <c r="N47" s="96">
        <f>SUM(I47:K47)+M47</f>
        <v>1542.4</v>
      </c>
      <c r="O47" s="91">
        <f t="shared" si="0"/>
        <v>2.2952380952380955</v>
      </c>
      <c r="P47" s="93">
        <f>P24</f>
        <v>0.38</v>
      </c>
      <c r="Q47" s="93">
        <f>('Initial pressure drop'!$H$73/1000)*Data!$H$24</f>
        <v>0.03997920271416455</v>
      </c>
      <c r="R47" s="93">
        <f t="shared" si="2"/>
        <v>0.41997920271416456</v>
      </c>
      <c r="S47" s="93">
        <f t="shared" si="3"/>
        <v>0.3999896013570823</v>
      </c>
      <c r="T47" s="89">
        <f t="shared" si="18"/>
        <v>32000</v>
      </c>
      <c r="U47" s="94">
        <f t="shared" si="19"/>
        <v>0.72</v>
      </c>
      <c r="V47" s="92">
        <f t="shared" si="20"/>
        <v>2.7969344895957087</v>
      </c>
      <c r="W47" s="94">
        <f t="shared" si="21"/>
        <v>0.93</v>
      </c>
      <c r="X47" s="94">
        <f t="shared" si="22"/>
        <v>0.95</v>
      </c>
      <c r="Y47" s="92">
        <f t="shared" si="23"/>
        <v>2.3616447416393873</v>
      </c>
      <c r="Z47" s="95">
        <f t="shared" si="24"/>
        <v>0.1</v>
      </c>
      <c r="AA47" s="89">
        <f t="shared" si="25"/>
        <v>1587.0252663816682</v>
      </c>
      <c r="AB47" s="89">
        <f t="shared" si="26"/>
        <v>56.679473799345296</v>
      </c>
      <c r="AC47" s="96">
        <f t="shared" si="27"/>
        <v>158.70252663816683</v>
      </c>
      <c r="AD47" s="96">
        <f t="shared" si="28"/>
        <v>5.66794737993453</v>
      </c>
      <c r="AE47" s="91">
        <f t="shared" si="29"/>
        <v>2.2952380952380955</v>
      </c>
      <c r="AF47" s="91">
        <f t="shared" si="30"/>
        <v>5.66794737993453</v>
      </c>
      <c r="AG47" s="91">
        <f t="shared" si="31"/>
        <v>7.963185475172626</v>
      </c>
      <c r="AH47" s="76">
        <f>'[4]Data'!$AG47</f>
        <v>6.702265328629074</v>
      </c>
      <c r="AI47" s="77">
        <f t="shared" si="32"/>
        <v>158.70252663816683</v>
      </c>
      <c r="AJ47" s="77">
        <f>'[4]Data'!$AC47</f>
        <v>89.66342920161406</v>
      </c>
      <c r="AK47" s="55">
        <f t="shared" si="33"/>
        <v>69.03909743655277</v>
      </c>
      <c r="AL47" s="55">
        <f t="shared" si="34"/>
        <v>8019.573919119945</v>
      </c>
    </row>
    <row r="48" spans="1:38" ht="18">
      <c r="A48" s="16"/>
      <c r="B48" s="46">
        <f t="shared" si="4"/>
        <v>25</v>
      </c>
      <c r="C48" s="50">
        <f t="shared" si="5"/>
        <v>40729</v>
      </c>
      <c r="D48" s="61">
        <f t="shared" si="6"/>
        <v>40757</v>
      </c>
      <c r="E48" s="46">
        <f t="shared" si="7"/>
        <v>4</v>
      </c>
      <c r="F48" s="50">
        <f t="shared" si="8"/>
        <v>40743</v>
      </c>
      <c r="G48" s="46">
        <f t="shared" si="9"/>
        <v>168</v>
      </c>
      <c r="H48" s="46">
        <f t="shared" si="10"/>
        <v>672</v>
      </c>
      <c r="I48" s="60">
        <f t="shared" si="11"/>
        <v>176</v>
      </c>
      <c r="J48" s="60">
        <f t="shared" si="12"/>
        <v>1086.4</v>
      </c>
      <c r="K48" s="60">
        <f t="shared" si="13"/>
        <v>280</v>
      </c>
      <c r="L48" s="48">
        <f t="shared" si="14"/>
        <v>9.876543209876544</v>
      </c>
      <c r="M48" s="60">
        <f t="shared" si="15"/>
        <v>0</v>
      </c>
      <c r="N48" s="55">
        <f t="shared" si="16"/>
        <v>1542.4</v>
      </c>
      <c r="O48" s="60">
        <f t="shared" si="0"/>
        <v>2.2034285714285717</v>
      </c>
      <c r="P48" s="71">
        <f t="shared" si="17"/>
        <v>0.41997920271416456</v>
      </c>
      <c r="Q48" s="72">
        <f>('Initial pressure drop'!$H$73/1000)*Data!$H$24</f>
        <v>0.03997920271416455</v>
      </c>
      <c r="R48" s="73">
        <f t="shared" si="2"/>
        <v>0.4599584054283291</v>
      </c>
      <c r="S48" s="66">
        <f t="shared" si="3"/>
        <v>0.43996880407124683</v>
      </c>
      <c r="T48" s="46">
        <f t="shared" si="18"/>
        <v>32000</v>
      </c>
      <c r="U48" s="59">
        <f t="shared" si="19"/>
        <v>0.72</v>
      </c>
      <c r="V48" s="48">
        <f t="shared" si="20"/>
        <v>3.0764897844293886</v>
      </c>
      <c r="W48" s="59">
        <f t="shared" si="21"/>
        <v>0.93</v>
      </c>
      <c r="X48" s="59">
        <f t="shared" si="22"/>
        <v>0.95</v>
      </c>
      <c r="Y48" s="48">
        <f t="shared" si="23"/>
        <v>2.597692562744</v>
      </c>
      <c r="Z48" s="57">
        <f t="shared" si="24"/>
        <v>0.1</v>
      </c>
      <c r="AA48" s="46">
        <f t="shared" si="25"/>
        <v>1745.649402163968</v>
      </c>
      <c r="AB48" s="46">
        <f t="shared" si="26"/>
        <v>62.344621505856004</v>
      </c>
      <c r="AC48" s="55">
        <f t="shared" si="27"/>
        <v>174.56494021639682</v>
      </c>
      <c r="AD48" s="55">
        <f t="shared" si="28"/>
        <v>6.234462150585601</v>
      </c>
      <c r="AE48" s="60">
        <f t="shared" si="29"/>
        <v>2.2034285714285717</v>
      </c>
      <c r="AF48" s="60">
        <f t="shared" si="30"/>
        <v>6.234462150585601</v>
      </c>
      <c r="AG48" s="60">
        <f t="shared" si="31"/>
        <v>8.437890722014172</v>
      </c>
      <c r="AH48" s="60">
        <f>'[4]Data'!$AG48</f>
        <v>6.619882727478204</v>
      </c>
      <c r="AI48" s="55">
        <f t="shared" si="32"/>
        <v>174.56494021639682</v>
      </c>
      <c r="AJ48" s="55">
        <f>'[4]Data'!$AC48</f>
        <v>92.0233830360564</v>
      </c>
      <c r="AK48" s="55">
        <f t="shared" si="33"/>
        <v>82.54155718034042</v>
      </c>
      <c r="AL48" s="55">
        <f t="shared" si="34"/>
        <v>8102.115476300285</v>
      </c>
    </row>
    <row r="49" spans="1:38" ht="18">
      <c r="A49" s="16"/>
      <c r="B49" s="46">
        <f t="shared" si="4"/>
        <v>26</v>
      </c>
      <c r="C49" s="50">
        <f t="shared" si="5"/>
        <v>40757</v>
      </c>
      <c r="D49" s="61">
        <f t="shared" si="6"/>
        <v>40785</v>
      </c>
      <c r="E49" s="46">
        <f t="shared" si="7"/>
        <v>4</v>
      </c>
      <c r="F49" s="50">
        <f t="shared" si="8"/>
        <v>40771</v>
      </c>
      <c r="G49" s="46">
        <f t="shared" si="9"/>
        <v>168</v>
      </c>
      <c r="H49" s="46">
        <f t="shared" si="10"/>
        <v>672</v>
      </c>
      <c r="I49" s="60">
        <f t="shared" si="11"/>
        <v>176</v>
      </c>
      <c r="J49" s="60">
        <f t="shared" si="12"/>
        <v>1086.4</v>
      </c>
      <c r="K49" s="60">
        <f t="shared" si="13"/>
        <v>280</v>
      </c>
      <c r="L49" s="48">
        <f t="shared" si="14"/>
        <v>9.876543209876544</v>
      </c>
      <c r="M49" s="60">
        <f t="shared" si="15"/>
        <v>0</v>
      </c>
      <c r="N49" s="55">
        <f t="shared" si="16"/>
        <v>1542.4</v>
      </c>
      <c r="O49" s="60">
        <f t="shared" si="0"/>
        <v>2.1186813186813187</v>
      </c>
      <c r="P49" s="71">
        <f t="shared" si="17"/>
        <v>0.4599584054283291</v>
      </c>
      <c r="Q49" s="72">
        <f>('Initial pressure drop'!$H$73/1000)*Data!$H$24</f>
        <v>0.03997920271416455</v>
      </c>
      <c r="R49" s="73">
        <f t="shared" si="2"/>
        <v>0.49993760814249366</v>
      </c>
      <c r="S49" s="66">
        <f t="shared" si="3"/>
        <v>0.4799480067854114</v>
      </c>
      <c r="T49" s="46">
        <f t="shared" si="18"/>
        <v>32000</v>
      </c>
      <c r="U49" s="59">
        <f t="shared" si="19"/>
        <v>0.72</v>
      </c>
      <c r="V49" s="48">
        <f t="shared" si="20"/>
        <v>3.3560450792630685</v>
      </c>
      <c r="W49" s="59">
        <f t="shared" si="21"/>
        <v>0.93</v>
      </c>
      <c r="X49" s="59">
        <f t="shared" si="22"/>
        <v>0.95</v>
      </c>
      <c r="Y49" s="48">
        <f t="shared" si="23"/>
        <v>2.8337403838486126</v>
      </c>
      <c r="Z49" s="57">
        <f t="shared" si="24"/>
        <v>0.1</v>
      </c>
      <c r="AA49" s="46">
        <f t="shared" si="25"/>
        <v>1904.2735379462677</v>
      </c>
      <c r="AB49" s="46">
        <f t="shared" si="26"/>
        <v>68.0097692123667</v>
      </c>
      <c r="AC49" s="55">
        <f t="shared" si="27"/>
        <v>190.42735379462678</v>
      </c>
      <c r="AD49" s="55">
        <f t="shared" si="28"/>
        <v>6.80097692123667</v>
      </c>
      <c r="AE49" s="60">
        <f t="shared" si="29"/>
        <v>2.1186813186813187</v>
      </c>
      <c r="AF49" s="60">
        <f t="shared" si="30"/>
        <v>6.80097692123667</v>
      </c>
      <c r="AG49" s="60">
        <f t="shared" si="31"/>
        <v>8.91965823991799</v>
      </c>
      <c r="AH49" s="60">
        <f>'[4]Data'!$AG49</f>
        <v>6.5526516414788505</v>
      </c>
      <c r="AI49" s="55">
        <f t="shared" si="32"/>
        <v>190.42735379462678</v>
      </c>
      <c r="AJ49" s="55">
        <f>'[4]Data'!$AC49</f>
        <v>94.38333687049872</v>
      </c>
      <c r="AK49" s="55">
        <f t="shared" si="33"/>
        <v>96.04401692412806</v>
      </c>
      <c r="AL49" s="55">
        <f t="shared" si="34"/>
        <v>8198.159493224413</v>
      </c>
    </row>
    <row r="50" spans="1:38" ht="18">
      <c r="A50" s="16"/>
      <c r="B50" s="46">
        <f t="shared" si="4"/>
        <v>27</v>
      </c>
      <c r="C50" s="50">
        <f t="shared" si="5"/>
        <v>40785</v>
      </c>
      <c r="D50" s="61">
        <f t="shared" si="6"/>
        <v>40813</v>
      </c>
      <c r="E50" s="46">
        <f t="shared" si="7"/>
        <v>4</v>
      </c>
      <c r="F50" s="50">
        <f t="shared" si="8"/>
        <v>40799</v>
      </c>
      <c r="G50" s="46">
        <f t="shared" si="9"/>
        <v>168</v>
      </c>
      <c r="H50" s="46">
        <f t="shared" si="10"/>
        <v>672</v>
      </c>
      <c r="I50" s="60">
        <f t="shared" si="11"/>
        <v>176</v>
      </c>
      <c r="J50" s="60">
        <f t="shared" si="12"/>
        <v>1086.4</v>
      </c>
      <c r="K50" s="60">
        <f t="shared" si="13"/>
        <v>280</v>
      </c>
      <c r="L50" s="48">
        <f t="shared" si="14"/>
        <v>9.876543209876544</v>
      </c>
      <c r="M50" s="60">
        <f t="shared" si="15"/>
        <v>0</v>
      </c>
      <c r="N50" s="55">
        <f t="shared" si="16"/>
        <v>1542.4</v>
      </c>
      <c r="O50" s="60">
        <f t="shared" si="0"/>
        <v>2.0402116402116404</v>
      </c>
      <c r="P50" s="71">
        <f t="shared" si="17"/>
        <v>0.49993760814249366</v>
      </c>
      <c r="Q50" s="72">
        <f>('Initial pressure drop'!$H$73/1000)*Data!$H$24</f>
        <v>0.03997920271416455</v>
      </c>
      <c r="R50" s="73">
        <f t="shared" si="2"/>
        <v>0.5399168108566582</v>
      </c>
      <c r="S50" s="66">
        <f t="shared" si="3"/>
        <v>0.5199272094995759</v>
      </c>
      <c r="T50" s="46">
        <f t="shared" si="18"/>
        <v>32000</v>
      </c>
      <c r="U50" s="59">
        <f t="shared" si="19"/>
        <v>0.72</v>
      </c>
      <c r="V50" s="48">
        <f t="shared" si="20"/>
        <v>3.6356003740967484</v>
      </c>
      <c r="W50" s="59">
        <f t="shared" si="21"/>
        <v>0.93</v>
      </c>
      <c r="X50" s="59">
        <f t="shared" si="22"/>
        <v>0.95</v>
      </c>
      <c r="Y50" s="48">
        <f t="shared" si="23"/>
        <v>3.0697882049532255</v>
      </c>
      <c r="Z50" s="57">
        <f t="shared" si="24"/>
        <v>0.1</v>
      </c>
      <c r="AA50" s="46">
        <f t="shared" si="25"/>
        <v>2062.8976737285675</v>
      </c>
      <c r="AB50" s="46">
        <f t="shared" si="26"/>
        <v>73.67491691887741</v>
      </c>
      <c r="AC50" s="55">
        <f t="shared" si="27"/>
        <v>206.28976737285677</v>
      </c>
      <c r="AD50" s="55">
        <f t="shared" si="28"/>
        <v>7.367491691887742</v>
      </c>
      <c r="AE50" s="60">
        <f t="shared" si="29"/>
        <v>2.0402116402116404</v>
      </c>
      <c r="AF50" s="60">
        <f t="shared" si="30"/>
        <v>7.367491691887742</v>
      </c>
      <c r="AG50" s="60">
        <f t="shared" si="31"/>
        <v>9.407703332099382</v>
      </c>
      <c r="AH50" s="60">
        <f>'[4]Data'!$AG50</f>
        <v>6.498595786046032</v>
      </c>
      <c r="AI50" s="55">
        <f t="shared" si="32"/>
        <v>206.28976737285677</v>
      </c>
      <c r="AJ50" s="55">
        <f>'[4]Data'!$AC50</f>
        <v>96.74329070494105</v>
      </c>
      <c r="AK50" s="55">
        <f t="shared" si="33"/>
        <v>109.54647666791573</v>
      </c>
      <c r="AL50" s="55">
        <f t="shared" si="34"/>
        <v>8307.70596989233</v>
      </c>
    </row>
    <row r="51" spans="1:38" ht="18">
      <c r="A51" s="16"/>
      <c r="B51" s="46">
        <f t="shared" si="4"/>
        <v>28</v>
      </c>
      <c r="C51" s="50">
        <f t="shared" si="5"/>
        <v>40813</v>
      </c>
      <c r="D51" s="61">
        <f t="shared" si="6"/>
        <v>40841</v>
      </c>
      <c r="E51" s="46">
        <f t="shared" si="7"/>
        <v>4</v>
      </c>
      <c r="F51" s="50">
        <f t="shared" si="8"/>
        <v>40827</v>
      </c>
      <c r="G51" s="46">
        <f t="shared" si="9"/>
        <v>168</v>
      </c>
      <c r="H51" s="46">
        <f t="shared" si="10"/>
        <v>672</v>
      </c>
      <c r="I51" s="60">
        <f t="shared" si="11"/>
        <v>176</v>
      </c>
      <c r="J51" s="60">
        <f t="shared" si="12"/>
        <v>1086.4</v>
      </c>
      <c r="K51" s="60">
        <f t="shared" si="13"/>
        <v>280</v>
      </c>
      <c r="L51" s="48">
        <f t="shared" si="14"/>
        <v>9.876543209876544</v>
      </c>
      <c r="M51" s="60">
        <f t="shared" si="15"/>
        <v>0</v>
      </c>
      <c r="N51" s="55">
        <f t="shared" si="16"/>
        <v>1542.4</v>
      </c>
      <c r="O51" s="60">
        <f t="shared" si="0"/>
        <v>1.9673469387755103</v>
      </c>
      <c r="P51" s="71">
        <f t="shared" si="17"/>
        <v>0.5399168108566582</v>
      </c>
      <c r="Q51" s="72">
        <f>('Initial pressure drop'!$H$73/1000)*Data!$H$24</f>
        <v>0.03997920271416455</v>
      </c>
      <c r="R51" s="73">
        <f t="shared" si="2"/>
        <v>0.5798960135708228</v>
      </c>
      <c r="S51" s="66">
        <f t="shared" si="3"/>
        <v>0.5599064122137405</v>
      </c>
      <c r="T51" s="46">
        <f t="shared" si="18"/>
        <v>32000</v>
      </c>
      <c r="U51" s="59">
        <f t="shared" si="19"/>
        <v>0.72</v>
      </c>
      <c r="V51" s="48">
        <f t="shared" si="20"/>
        <v>3.9151556689304283</v>
      </c>
      <c r="W51" s="59">
        <f t="shared" si="21"/>
        <v>0.93</v>
      </c>
      <c r="X51" s="59">
        <f t="shared" si="22"/>
        <v>0.95</v>
      </c>
      <c r="Y51" s="48">
        <f t="shared" si="23"/>
        <v>3.305836026057838</v>
      </c>
      <c r="Z51" s="57">
        <f t="shared" si="24"/>
        <v>0.1</v>
      </c>
      <c r="AA51" s="46">
        <f t="shared" si="25"/>
        <v>2221.521809510867</v>
      </c>
      <c r="AB51" s="46">
        <f t="shared" si="26"/>
        <v>79.34006462538811</v>
      </c>
      <c r="AC51" s="55">
        <f t="shared" si="27"/>
        <v>222.15218095108673</v>
      </c>
      <c r="AD51" s="55">
        <f t="shared" si="28"/>
        <v>7.934006462538812</v>
      </c>
      <c r="AE51" s="60">
        <f t="shared" si="29"/>
        <v>1.9673469387755103</v>
      </c>
      <c r="AF51" s="60">
        <f t="shared" si="30"/>
        <v>7.934006462538812</v>
      </c>
      <c r="AG51" s="60">
        <f t="shared" si="31"/>
        <v>9.901353401314323</v>
      </c>
      <c r="AH51" s="60">
        <f>'[4]Data'!$AG51</f>
        <v>6.456068257358931</v>
      </c>
      <c r="AI51" s="55">
        <f t="shared" si="32"/>
        <v>222.15218095108673</v>
      </c>
      <c r="AJ51" s="55">
        <f>'[4]Data'!$AC51</f>
        <v>99.1032445393834</v>
      </c>
      <c r="AK51" s="55">
        <f t="shared" si="33"/>
        <v>123.04893641170334</v>
      </c>
      <c r="AL51" s="55">
        <f t="shared" si="34"/>
        <v>8430.754906304033</v>
      </c>
    </row>
    <row r="52" spans="1:38" ht="18">
      <c r="A52" s="16"/>
      <c r="B52" s="46">
        <f t="shared" si="4"/>
        <v>29</v>
      </c>
      <c r="C52" s="50">
        <f t="shared" si="5"/>
        <v>40841</v>
      </c>
      <c r="D52" s="61">
        <f t="shared" si="6"/>
        <v>40869</v>
      </c>
      <c r="E52" s="46">
        <f t="shared" si="7"/>
        <v>4</v>
      </c>
      <c r="F52" s="50">
        <f t="shared" si="8"/>
        <v>40855</v>
      </c>
      <c r="G52" s="46">
        <f t="shared" si="9"/>
        <v>168</v>
      </c>
      <c r="H52" s="46">
        <f t="shared" si="10"/>
        <v>672</v>
      </c>
      <c r="I52" s="60">
        <f t="shared" si="11"/>
        <v>176</v>
      </c>
      <c r="J52" s="60">
        <f t="shared" si="12"/>
        <v>1086.4</v>
      </c>
      <c r="K52" s="60">
        <f t="shared" si="13"/>
        <v>280</v>
      </c>
      <c r="L52" s="48">
        <f t="shared" si="14"/>
        <v>9.876543209876544</v>
      </c>
      <c r="M52" s="60">
        <f t="shared" si="15"/>
        <v>0</v>
      </c>
      <c r="N52" s="55">
        <f t="shared" si="16"/>
        <v>1542.4</v>
      </c>
      <c r="O52" s="60">
        <f t="shared" si="0"/>
        <v>1.8995073891625618</v>
      </c>
      <c r="P52" s="71">
        <f t="shared" si="17"/>
        <v>0.5798960135708228</v>
      </c>
      <c r="Q52" s="72">
        <f>('Initial pressure drop'!$H$73/1000)*Data!$H$24</f>
        <v>0.03997920271416455</v>
      </c>
      <c r="R52" s="73">
        <f t="shared" si="2"/>
        <v>0.6198752162849873</v>
      </c>
      <c r="S52" s="66">
        <f t="shared" si="3"/>
        <v>0.599885614927905</v>
      </c>
      <c r="T52" s="46">
        <f t="shared" si="18"/>
        <v>32000</v>
      </c>
      <c r="U52" s="59">
        <f t="shared" si="19"/>
        <v>0.72</v>
      </c>
      <c r="V52" s="48">
        <f t="shared" si="20"/>
        <v>4.194710963764108</v>
      </c>
      <c r="W52" s="59">
        <f t="shared" si="21"/>
        <v>0.93</v>
      </c>
      <c r="X52" s="59">
        <f t="shared" si="22"/>
        <v>0.95</v>
      </c>
      <c r="Y52" s="48">
        <f t="shared" si="23"/>
        <v>3.5418838471624507</v>
      </c>
      <c r="Z52" s="57">
        <f t="shared" si="24"/>
        <v>0.1</v>
      </c>
      <c r="AA52" s="46">
        <f t="shared" si="25"/>
        <v>2380.1459452931667</v>
      </c>
      <c r="AB52" s="46">
        <f t="shared" si="26"/>
        <v>85.00521233189882</v>
      </c>
      <c r="AC52" s="55">
        <f t="shared" si="27"/>
        <v>238.0145945293167</v>
      </c>
      <c r="AD52" s="55">
        <f t="shared" si="28"/>
        <v>8.500521233189883</v>
      </c>
      <c r="AE52" s="60">
        <f t="shared" si="29"/>
        <v>1.8995073891625618</v>
      </c>
      <c r="AF52" s="60">
        <f t="shared" si="30"/>
        <v>8.500521233189883</v>
      </c>
      <c r="AG52" s="60">
        <f t="shared" si="31"/>
        <v>10.400028622352444</v>
      </c>
      <c r="AH52" s="60">
        <f>'[4]Data'!$AG52</f>
        <v>6.423685656208061</v>
      </c>
      <c r="AI52" s="55">
        <f t="shared" si="32"/>
        <v>238.0145945293167</v>
      </c>
      <c r="AJ52" s="55">
        <f>'[4]Data'!$AC52</f>
        <v>101.46319837382572</v>
      </c>
      <c r="AK52" s="55">
        <f t="shared" si="33"/>
        <v>136.55139615549098</v>
      </c>
      <c r="AL52" s="55">
        <f t="shared" si="34"/>
        <v>8567.306302459525</v>
      </c>
    </row>
    <row r="53" spans="1:38" ht="18">
      <c r="A53" s="16"/>
      <c r="B53" s="46">
        <f t="shared" si="4"/>
        <v>30</v>
      </c>
      <c r="C53" s="50">
        <f t="shared" si="5"/>
        <v>40869</v>
      </c>
      <c r="D53" s="61">
        <f t="shared" si="6"/>
        <v>40897</v>
      </c>
      <c r="E53" s="46">
        <f t="shared" si="7"/>
        <v>4</v>
      </c>
      <c r="F53" s="50">
        <f t="shared" si="8"/>
        <v>40883</v>
      </c>
      <c r="G53" s="46">
        <f t="shared" si="9"/>
        <v>168</v>
      </c>
      <c r="H53" s="46">
        <f t="shared" si="10"/>
        <v>672</v>
      </c>
      <c r="I53" s="60">
        <f t="shared" si="11"/>
        <v>176</v>
      </c>
      <c r="J53" s="60">
        <f t="shared" si="12"/>
        <v>1086.4</v>
      </c>
      <c r="K53" s="60">
        <f t="shared" si="13"/>
        <v>280</v>
      </c>
      <c r="L53" s="48">
        <f t="shared" si="14"/>
        <v>9.876543209876544</v>
      </c>
      <c r="M53" s="60">
        <f t="shared" si="15"/>
        <v>0</v>
      </c>
      <c r="N53" s="55">
        <f t="shared" si="16"/>
        <v>1542.4</v>
      </c>
      <c r="O53" s="60">
        <f t="shared" si="0"/>
        <v>1.8361904761904764</v>
      </c>
      <c r="P53" s="71">
        <f t="shared" si="17"/>
        <v>0.6198752162849873</v>
      </c>
      <c r="Q53" s="72">
        <f>('Initial pressure drop'!$H$73/1000)*Data!$H$24</f>
        <v>0.03997920271416455</v>
      </c>
      <c r="R53" s="73">
        <f t="shared" si="2"/>
        <v>0.6598544189991519</v>
      </c>
      <c r="S53" s="66">
        <f t="shared" si="3"/>
        <v>0.6398648176420696</v>
      </c>
      <c r="T53" s="46">
        <f t="shared" si="18"/>
        <v>32000</v>
      </c>
      <c r="U53" s="59">
        <f t="shared" si="19"/>
        <v>0.72</v>
      </c>
      <c r="V53" s="48">
        <f t="shared" si="20"/>
        <v>4.474266258597788</v>
      </c>
      <c r="W53" s="59">
        <f t="shared" si="21"/>
        <v>0.93</v>
      </c>
      <c r="X53" s="59">
        <f t="shared" si="22"/>
        <v>0.95</v>
      </c>
      <c r="Y53" s="48">
        <f t="shared" si="23"/>
        <v>3.7779316682670627</v>
      </c>
      <c r="Z53" s="57">
        <f t="shared" si="24"/>
        <v>0.1</v>
      </c>
      <c r="AA53" s="46">
        <f t="shared" si="25"/>
        <v>2538.7700810754664</v>
      </c>
      <c r="AB53" s="46">
        <f t="shared" si="26"/>
        <v>90.67036003840951</v>
      </c>
      <c r="AC53" s="55">
        <f t="shared" si="27"/>
        <v>253.87700810754666</v>
      </c>
      <c r="AD53" s="55">
        <f t="shared" si="28"/>
        <v>9.067036003840952</v>
      </c>
      <c r="AE53" s="60">
        <f t="shared" si="29"/>
        <v>1.8361904761904764</v>
      </c>
      <c r="AF53" s="60">
        <f t="shared" si="30"/>
        <v>9.067036003840952</v>
      </c>
      <c r="AG53" s="60">
        <f t="shared" si="31"/>
        <v>10.903226480031428</v>
      </c>
      <c r="AH53" s="60">
        <f>'[4]Data'!$AG53</f>
        <v>6.400277414031552</v>
      </c>
      <c r="AI53" s="55">
        <f t="shared" si="32"/>
        <v>253.87700810754666</v>
      </c>
      <c r="AJ53" s="55">
        <f>'[4]Data'!$AC53</f>
        <v>103.82315220826807</v>
      </c>
      <c r="AK53" s="55">
        <f t="shared" si="33"/>
        <v>150.05385589927857</v>
      </c>
      <c r="AL53" s="55">
        <f t="shared" si="34"/>
        <v>8717.360158358804</v>
      </c>
    </row>
    <row r="54" spans="1:38" ht="18">
      <c r="A54" s="16"/>
      <c r="B54" s="46">
        <f t="shared" si="4"/>
        <v>31</v>
      </c>
      <c r="C54" s="50">
        <f t="shared" si="5"/>
        <v>40897</v>
      </c>
      <c r="D54" s="61">
        <f t="shared" si="6"/>
        <v>40925</v>
      </c>
      <c r="E54" s="46">
        <f t="shared" si="7"/>
        <v>4</v>
      </c>
      <c r="F54" s="50">
        <f t="shared" si="8"/>
        <v>40911</v>
      </c>
      <c r="G54" s="46">
        <f t="shared" si="9"/>
        <v>168</v>
      </c>
      <c r="H54" s="46">
        <f t="shared" si="10"/>
        <v>672</v>
      </c>
      <c r="I54" s="60">
        <f t="shared" si="11"/>
        <v>176</v>
      </c>
      <c r="J54" s="60">
        <f t="shared" si="12"/>
        <v>1086.4</v>
      </c>
      <c r="K54" s="60">
        <f t="shared" si="13"/>
        <v>280</v>
      </c>
      <c r="L54" s="48">
        <f t="shared" si="14"/>
        <v>9.876543209876544</v>
      </c>
      <c r="M54" s="60">
        <f t="shared" si="15"/>
        <v>0</v>
      </c>
      <c r="N54" s="55">
        <f t="shared" si="16"/>
        <v>1542.4</v>
      </c>
      <c r="O54" s="60">
        <f t="shared" si="0"/>
        <v>1.7769585253456222</v>
      </c>
      <c r="P54" s="71">
        <f t="shared" si="17"/>
        <v>0.6598544189991519</v>
      </c>
      <c r="Q54" s="72">
        <f>('Initial pressure drop'!$H$73/1000)*Data!$H$24</f>
        <v>0.03997920271416455</v>
      </c>
      <c r="R54" s="73">
        <f t="shared" si="2"/>
        <v>0.6998336217133164</v>
      </c>
      <c r="S54" s="66">
        <f t="shared" si="3"/>
        <v>0.6798440203562341</v>
      </c>
      <c r="T54" s="46">
        <f t="shared" si="18"/>
        <v>32000</v>
      </c>
      <c r="U54" s="59">
        <f t="shared" si="19"/>
        <v>0.72</v>
      </c>
      <c r="V54" s="48">
        <f t="shared" si="20"/>
        <v>4.753821553431468</v>
      </c>
      <c r="W54" s="59">
        <f t="shared" si="21"/>
        <v>0.93</v>
      </c>
      <c r="X54" s="59">
        <f t="shared" si="22"/>
        <v>0.95</v>
      </c>
      <c r="Y54" s="48">
        <f t="shared" si="23"/>
        <v>4.013979489371676</v>
      </c>
      <c r="Z54" s="57">
        <f t="shared" si="24"/>
        <v>0.1</v>
      </c>
      <c r="AA54" s="46">
        <f t="shared" si="25"/>
        <v>2697.394216857766</v>
      </c>
      <c r="AB54" s="46">
        <f t="shared" si="26"/>
        <v>96.3355077449202</v>
      </c>
      <c r="AC54" s="55">
        <f t="shared" si="27"/>
        <v>269.7394216857766</v>
      </c>
      <c r="AD54" s="55">
        <f t="shared" si="28"/>
        <v>9.633550774492022</v>
      </c>
      <c r="AE54" s="60">
        <f t="shared" si="29"/>
        <v>1.7769585253456222</v>
      </c>
      <c r="AF54" s="60">
        <f t="shared" si="30"/>
        <v>9.633550774492022</v>
      </c>
      <c r="AG54" s="60">
        <f t="shared" si="31"/>
        <v>11.410509299837644</v>
      </c>
      <c r="AH54" s="60">
        <f>'[4]Data'!$AG54</f>
        <v>6.384846379832249</v>
      </c>
      <c r="AI54" s="55">
        <f t="shared" si="32"/>
        <v>269.7394216857766</v>
      </c>
      <c r="AJ54" s="55">
        <f>'[4]Data'!$AC54</f>
        <v>106.18310604271039</v>
      </c>
      <c r="AK54" s="55">
        <f t="shared" si="33"/>
        <v>163.55631564306623</v>
      </c>
      <c r="AL54" s="55">
        <f t="shared" si="34"/>
        <v>8880.916474001871</v>
      </c>
    </row>
    <row r="55" spans="1:38" ht="18">
      <c r="A55" s="16"/>
      <c r="B55" s="46">
        <f t="shared" si="4"/>
        <v>32</v>
      </c>
      <c r="C55" s="50">
        <f t="shared" si="5"/>
        <v>40925</v>
      </c>
      <c r="D55" s="61">
        <f t="shared" si="6"/>
        <v>40953</v>
      </c>
      <c r="E55" s="46">
        <f t="shared" si="7"/>
        <v>4</v>
      </c>
      <c r="F55" s="50">
        <f t="shared" si="8"/>
        <v>40939</v>
      </c>
      <c r="G55" s="46">
        <f t="shared" si="9"/>
        <v>168</v>
      </c>
      <c r="H55" s="46">
        <f t="shared" si="10"/>
        <v>672</v>
      </c>
      <c r="I55" s="60">
        <f t="shared" si="11"/>
        <v>176</v>
      </c>
      <c r="J55" s="60">
        <f t="shared" si="12"/>
        <v>1086.4</v>
      </c>
      <c r="K55" s="60">
        <f t="shared" si="13"/>
        <v>280</v>
      </c>
      <c r="L55" s="48">
        <f t="shared" si="14"/>
        <v>9.876543209876544</v>
      </c>
      <c r="M55" s="60">
        <f t="shared" si="15"/>
        <v>0</v>
      </c>
      <c r="N55" s="55">
        <f t="shared" si="16"/>
        <v>1542.4</v>
      </c>
      <c r="O55" s="60">
        <f t="shared" si="0"/>
        <v>1.7214285714285715</v>
      </c>
      <c r="P55" s="71">
        <f t="shared" si="17"/>
        <v>0.6998336217133164</v>
      </c>
      <c r="Q55" s="72">
        <f>('Initial pressure drop'!$H$73/1000)*Data!$H$24</f>
        <v>0.03997920271416455</v>
      </c>
      <c r="R55" s="73">
        <f t="shared" si="2"/>
        <v>0.739812824427481</v>
      </c>
      <c r="S55" s="66">
        <f t="shared" si="3"/>
        <v>0.7198232230703987</v>
      </c>
      <c r="T55" s="46">
        <f t="shared" si="18"/>
        <v>32000</v>
      </c>
      <c r="U55" s="59">
        <f t="shared" si="19"/>
        <v>0.72</v>
      </c>
      <c r="V55" s="48">
        <f t="shared" si="20"/>
        <v>5.0333768482651475</v>
      </c>
      <c r="W55" s="59">
        <f t="shared" si="21"/>
        <v>0.93</v>
      </c>
      <c r="X55" s="59">
        <f t="shared" si="22"/>
        <v>0.95</v>
      </c>
      <c r="Y55" s="48">
        <f t="shared" si="23"/>
        <v>4.250027310476288</v>
      </c>
      <c r="Z55" s="57">
        <f t="shared" si="24"/>
        <v>0.1</v>
      </c>
      <c r="AA55" s="46">
        <f t="shared" si="25"/>
        <v>2856.018352640065</v>
      </c>
      <c r="AB55" s="46">
        <f t="shared" si="26"/>
        <v>102.0006554514309</v>
      </c>
      <c r="AC55" s="55">
        <f t="shared" si="27"/>
        <v>285.6018352640065</v>
      </c>
      <c r="AD55" s="55">
        <f t="shared" si="28"/>
        <v>10.20006554514309</v>
      </c>
      <c r="AE55" s="60">
        <f t="shared" si="29"/>
        <v>1.7214285714285715</v>
      </c>
      <c r="AF55" s="60">
        <f t="shared" si="30"/>
        <v>10.20006554514309</v>
      </c>
      <c r="AG55" s="60">
        <f t="shared" si="31"/>
        <v>11.921494116571662</v>
      </c>
      <c r="AH55" s="60">
        <f>'[4]Data'!$AG55</f>
        <v>6.376537852755454</v>
      </c>
      <c r="AI55" s="55">
        <f t="shared" si="32"/>
        <v>285.6018352640065</v>
      </c>
      <c r="AJ55" s="55">
        <f>'[4]Data'!$AC55</f>
        <v>108.5430598771527</v>
      </c>
      <c r="AK55" s="55">
        <f t="shared" si="33"/>
        <v>177.05877538685382</v>
      </c>
      <c r="AL55" s="55">
        <f t="shared" si="34"/>
        <v>9057.975249388724</v>
      </c>
    </row>
    <row r="56" spans="1:38" ht="18">
      <c r="A56" s="16"/>
      <c r="B56" s="46">
        <f t="shared" si="4"/>
        <v>33</v>
      </c>
      <c r="C56" s="50">
        <f t="shared" si="5"/>
        <v>40953</v>
      </c>
      <c r="D56" s="61">
        <f t="shared" si="6"/>
        <v>40981</v>
      </c>
      <c r="E56" s="46">
        <f t="shared" si="7"/>
        <v>4</v>
      </c>
      <c r="F56" s="50">
        <f t="shared" si="8"/>
        <v>40967</v>
      </c>
      <c r="G56" s="46">
        <f t="shared" si="9"/>
        <v>168</v>
      </c>
      <c r="H56" s="46">
        <f t="shared" si="10"/>
        <v>672</v>
      </c>
      <c r="I56" s="60">
        <f t="shared" si="11"/>
        <v>176</v>
      </c>
      <c r="J56" s="60">
        <f t="shared" si="12"/>
        <v>1086.4</v>
      </c>
      <c r="K56" s="60">
        <f t="shared" si="13"/>
        <v>280</v>
      </c>
      <c r="L56" s="48">
        <f t="shared" si="14"/>
        <v>9.876543209876544</v>
      </c>
      <c r="M56" s="60">
        <f t="shared" si="15"/>
        <v>0</v>
      </c>
      <c r="N56" s="55">
        <f t="shared" si="16"/>
        <v>1542.4</v>
      </c>
      <c r="O56" s="60">
        <f t="shared" si="0"/>
        <v>1.6692640692640694</v>
      </c>
      <c r="P56" s="71">
        <f t="shared" si="17"/>
        <v>0.739812824427481</v>
      </c>
      <c r="Q56" s="72">
        <f>('Initial pressure drop'!$H$73/1000)*Data!$H$24</f>
        <v>0.03997920271416455</v>
      </c>
      <c r="R56" s="73">
        <f t="shared" si="2"/>
        <v>0.7797920271416455</v>
      </c>
      <c r="S56" s="66">
        <f t="shared" si="3"/>
        <v>0.7598024257845633</v>
      </c>
      <c r="T56" s="46">
        <f t="shared" si="18"/>
        <v>32000</v>
      </c>
      <c r="U56" s="59">
        <f t="shared" si="19"/>
        <v>0.72</v>
      </c>
      <c r="V56" s="48">
        <f t="shared" si="20"/>
        <v>5.312932143098828</v>
      </c>
      <c r="W56" s="59">
        <f t="shared" si="21"/>
        <v>0.93</v>
      </c>
      <c r="X56" s="59">
        <f t="shared" si="22"/>
        <v>0.95</v>
      </c>
      <c r="Y56" s="48">
        <f t="shared" si="23"/>
        <v>4.4860751315809</v>
      </c>
      <c r="Z56" s="57">
        <f t="shared" si="24"/>
        <v>0.1</v>
      </c>
      <c r="AA56" s="46">
        <f t="shared" si="25"/>
        <v>3014.642488422365</v>
      </c>
      <c r="AB56" s="46">
        <f t="shared" si="26"/>
        <v>107.66580315794161</v>
      </c>
      <c r="AC56" s="55">
        <f t="shared" si="27"/>
        <v>301.46424884223654</v>
      </c>
      <c r="AD56" s="55">
        <f t="shared" si="28"/>
        <v>10.766580315794162</v>
      </c>
      <c r="AE56" s="60">
        <f t="shared" si="29"/>
        <v>1.6692640692640694</v>
      </c>
      <c r="AF56" s="60">
        <f t="shared" si="30"/>
        <v>10.766580315794162</v>
      </c>
      <c r="AG56" s="60">
        <f t="shared" si="31"/>
        <v>12.435844385058232</v>
      </c>
      <c r="AH56" s="60">
        <f>'[4]Data'!$AG56</f>
        <v>6.374615021719528</v>
      </c>
      <c r="AI56" s="55">
        <f t="shared" si="32"/>
        <v>301.46424884223654</v>
      </c>
      <c r="AJ56" s="55">
        <f>'[4]Data'!$AC56</f>
        <v>110.90301371159507</v>
      </c>
      <c r="AK56" s="55">
        <f t="shared" si="33"/>
        <v>190.56123513064148</v>
      </c>
      <c r="AL56" s="55">
        <f t="shared" si="34"/>
        <v>9248.536484519365</v>
      </c>
    </row>
    <row r="57" spans="1:38" ht="18">
      <c r="A57" s="16"/>
      <c r="B57" s="46">
        <f t="shared" si="4"/>
        <v>34</v>
      </c>
      <c r="C57" s="50">
        <f t="shared" si="5"/>
        <v>40981</v>
      </c>
      <c r="D57" s="61">
        <f t="shared" si="6"/>
        <v>41009</v>
      </c>
      <c r="E57" s="46">
        <f t="shared" si="7"/>
        <v>4</v>
      </c>
      <c r="F57" s="50">
        <f t="shared" si="8"/>
        <v>40995</v>
      </c>
      <c r="G57" s="46">
        <f t="shared" si="9"/>
        <v>168</v>
      </c>
      <c r="H57" s="46">
        <f t="shared" si="10"/>
        <v>672</v>
      </c>
      <c r="I57" s="60">
        <f t="shared" si="11"/>
        <v>176</v>
      </c>
      <c r="J57" s="60">
        <f t="shared" si="12"/>
        <v>1086.4</v>
      </c>
      <c r="K57" s="60">
        <f t="shared" si="13"/>
        <v>280</v>
      </c>
      <c r="L57" s="48">
        <f t="shared" si="14"/>
        <v>9.876543209876544</v>
      </c>
      <c r="M57" s="60">
        <f t="shared" si="15"/>
        <v>0</v>
      </c>
      <c r="N57" s="55">
        <f t="shared" si="16"/>
        <v>1542.4</v>
      </c>
      <c r="O57" s="60">
        <f t="shared" si="0"/>
        <v>1.6201680672268908</v>
      </c>
      <c r="P57" s="71">
        <f t="shared" si="17"/>
        <v>0.7797920271416455</v>
      </c>
      <c r="Q57" s="72">
        <f>('Initial pressure drop'!$H$73/1000)*Data!$H$24</f>
        <v>0.03997920271416455</v>
      </c>
      <c r="R57" s="73">
        <f t="shared" si="2"/>
        <v>0.8197712298558101</v>
      </c>
      <c r="S57" s="66">
        <f t="shared" si="3"/>
        <v>0.7997816284987278</v>
      </c>
      <c r="T57" s="46">
        <f t="shared" si="18"/>
        <v>32000</v>
      </c>
      <c r="U57" s="59">
        <f t="shared" si="19"/>
        <v>0.72</v>
      </c>
      <c r="V57" s="48">
        <f t="shared" si="20"/>
        <v>5.592487437932507</v>
      </c>
      <c r="W57" s="59">
        <f t="shared" si="21"/>
        <v>0.93</v>
      </c>
      <c r="X57" s="59">
        <f t="shared" si="22"/>
        <v>0.95</v>
      </c>
      <c r="Y57" s="48">
        <f t="shared" si="23"/>
        <v>4.722122952685512</v>
      </c>
      <c r="Z57" s="57">
        <f t="shared" si="24"/>
        <v>0.1</v>
      </c>
      <c r="AA57" s="46">
        <f t="shared" si="25"/>
        <v>3173.2666242046644</v>
      </c>
      <c r="AB57" s="46">
        <f t="shared" si="26"/>
        <v>113.3309508644523</v>
      </c>
      <c r="AC57" s="55">
        <f t="shared" si="27"/>
        <v>317.32666242046645</v>
      </c>
      <c r="AD57" s="55">
        <f t="shared" si="28"/>
        <v>11.33309508644523</v>
      </c>
      <c r="AE57" s="60">
        <f t="shared" si="29"/>
        <v>1.6201680672268908</v>
      </c>
      <c r="AF57" s="60">
        <f t="shared" si="30"/>
        <v>11.33309508644523</v>
      </c>
      <c r="AG57" s="60">
        <f t="shared" si="31"/>
        <v>12.95326315367212</v>
      </c>
      <c r="AH57" s="60">
        <f>'[4]Data'!$AG57</f>
        <v>6.3784393171203835</v>
      </c>
      <c r="AI57" s="55">
        <f t="shared" si="32"/>
        <v>317.32666242046645</v>
      </c>
      <c r="AJ57" s="55">
        <f>'[4]Data'!$AC57</f>
        <v>113.26296754603742</v>
      </c>
      <c r="AK57" s="55">
        <f t="shared" si="33"/>
        <v>204.06369487442902</v>
      </c>
      <c r="AL57" s="55">
        <f t="shared" si="34"/>
        <v>9452.600179393794</v>
      </c>
    </row>
    <row r="58" spans="1:38" ht="18">
      <c r="A58" s="16"/>
      <c r="B58" s="46">
        <f t="shared" si="4"/>
        <v>35</v>
      </c>
      <c r="C58" s="50">
        <f t="shared" si="5"/>
        <v>41009</v>
      </c>
      <c r="D58" s="61">
        <f t="shared" si="6"/>
        <v>41037</v>
      </c>
      <c r="E58" s="46">
        <f t="shared" si="7"/>
        <v>4</v>
      </c>
      <c r="F58" s="50">
        <f t="shared" si="8"/>
        <v>41023</v>
      </c>
      <c r="G58" s="46">
        <f t="shared" si="9"/>
        <v>168</v>
      </c>
      <c r="H58" s="46">
        <f t="shared" si="10"/>
        <v>672</v>
      </c>
      <c r="I58" s="60">
        <f t="shared" si="11"/>
        <v>176</v>
      </c>
      <c r="J58" s="60">
        <f t="shared" si="12"/>
        <v>1086.4</v>
      </c>
      <c r="K58" s="60">
        <f t="shared" si="13"/>
        <v>280</v>
      </c>
      <c r="L58" s="48">
        <f t="shared" si="14"/>
        <v>9.876543209876544</v>
      </c>
      <c r="M58" s="60">
        <f t="shared" si="15"/>
        <v>0</v>
      </c>
      <c r="N58" s="55">
        <f t="shared" si="16"/>
        <v>1542.4</v>
      </c>
      <c r="O58" s="60">
        <f t="shared" si="0"/>
        <v>1.5738775510204082</v>
      </c>
      <c r="P58" s="71">
        <f t="shared" si="17"/>
        <v>0.8197712298558101</v>
      </c>
      <c r="Q58" s="72">
        <f>('Initial pressure drop'!$H$73/1000)*Data!$H$24</f>
        <v>0.03997920271416455</v>
      </c>
      <c r="R58" s="73">
        <f t="shared" si="2"/>
        <v>0.8597504325699746</v>
      </c>
      <c r="S58" s="66">
        <f t="shared" si="3"/>
        <v>0.8397608312128924</v>
      </c>
      <c r="T58" s="46">
        <f t="shared" si="18"/>
        <v>32000</v>
      </c>
      <c r="U58" s="59">
        <f t="shared" si="19"/>
        <v>0.72</v>
      </c>
      <c r="V58" s="48">
        <f t="shared" si="20"/>
        <v>5.872042732766187</v>
      </c>
      <c r="W58" s="59">
        <f t="shared" si="21"/>
        <v>0.93</v>
      </c>
      <c r="X58" s="59">
        <f t="shared" si="22"/>
        <v>0.95</v>
      </c>
      <c r="Y58" s="48">
        <f t="shared" si="23"/>
        <v>4.958170773790125</v>
      </c>
      <c r="Z58" s="57">
        <f t="shared" si="24"/>
        <v>0.1</v>
      </c>
      <c r="AA58" s="46">
        <f t="shared" si="25"/>
        <v>3331.890759986964</v>
      </c>
      <c r="AB58" s="46">
        <f t="shared" si="26"/>
        <v>118.996098570963</v>
      </c>
      <c r="AC58" s="55">
        <f t="shared" si="27"/>
        <v>333.1890759986964</v>
      </c>
      <c r="AD58" s="55">
        <f t="shared" si="28"/>
        <v>11.8996098570963</v>
      </c>
      <c r="AE58" s="60">
        <f t="shared" si="29"/>
        <v>1.5738775510204082</v>
      </c>
      <c r="AF58" s="60">
        <f t="shared" si="30"/>
        <v>11.8996098570963</v>
      </c>
      <c r="AG58" s="60">
        <f t="shared" si="31"/>
        <v>13.473487408116707</v>
      </c>
      <c r="AH58" s="60">
        <f>'[4]Data'!$AG58</f>
        <v>6.387454565431881</v>
      </c>
      <c r="AI58" s="55">
        <f t="shared" si="32"/>
        <v>333.1890759986964</v>
      </c>
      <c r="AJ58" s="55">
        <f>'[4]Data'!$AC58</f>
        <v>115.62292138047974</v>
      </c>
      <c r="AK58" s="55">
        <f t="shared" si="33"/>
        <v>217.56615461821667</v>
      </c>
      <c r="AL58" s="55">
        <f t="shared" si="34"/>
        <v>9670.16633401201</v>
      </c>
    </row>
    <row r="59" spans="1:38" ht="18">
      <c r="A59" s="16"/>
      <c r="B59" s="46">
        <f t="shared" si="4"/>
        <v>36</v>
      </c>
      <c r="C59" s="50">
        <f t="shared" si="5"/>
        <v>41037</v>
      </c>
      <c r="D59" s="61">
        <f t="shared" si="6"/>
        <v>41065</v>
      </c>
      <c r="E59" s="46">
        <f t="shared" si="7"/>
        <v>4</v>
      </c>
      <c r="F59" s="50">
        <f t="shared" si="8"/>
        <v>41051</v>
      </c>
      <c r="G59" s="46">
        <f t="shared" si="9"/>
        <v>168</v>
      </c>
      <c r="H59" s="46">
        <f t="shared" si="10"/>
        <v>672</v>
      </c>
      <c r="I59" s="60">
        <f t="shared" si="11"/>
        <v>176</v>
      </c>
      <c r="J59" s="60">
        <f t="shared" si="12"/>
        <v>1086.4</v>
      </c>
      <c r="K59" s="60">
        <f t="shared" si="13"/>
        <v>280</v>
      </c>
      <c r="L59" s="48">
        <f t="shared" si="14"/>
        <v>9.876543209876544</v>
      </c>
      <c r="M59" s="60">
        <f t="shared" si="15"/>
        <v>0</v>
      </c>
      <c r="N59" s="55">
        <f t="shared" si="16"/>
        <v>1542.4</v>
      </c>
      <c r="O59" s="60">
        <f t="shared" si="0"/>
        <v>1.5301587301587303</v>
      </c>
      <c r="P59" s="71">
        <f t="shared" si="17"/>
        <v>0.8597504325699746</v>
      </c>
      <c r="Q59" s="72">
        <f>('Initial pressure drop'!$H$73/1000)*Data!$H$24</f>
        <v>0.03997920271416455</v>
      </c>
      <c r="R59" s="73">
        <f t="shared" si="2"/>
        <v>0.8997296352841392</v>
      </c>
      <c r="S59" s="66">
        <f>AVERAGE(P59,R59)</f>
        <v>0.8797400339270569</v>
      </c>
      <c r="T59" s="46">
        <f t="shared" si="18"/>
        <v>32000</v>
      </c>
      <c r="U59" s="59">
        <f t="shared" si="19"/>
        <v>0.72</v>
      </c>
      <c r="V59" s="48">
        <f t="shared" si="20"/>
        <v>6.151598027599866</v>
      </c>
      <c r="W59" s="59">
        <f t="shared" si="21"/>
        <v>0.93</v>
      </c>
      <c r="X59" s="59">
        <f t="shared" si="22"/>
        <v>0.95</v>
      </c>
      <c r="Y59" s="48">
        <f t="shared" si="23"/>
        <v>5.194218594894737</v>
      </c>
      <c r="Z59" s="57">
        <f t="shared" si="24"/>
        <v>0.1</v>
      </c>
      <c r="AA59" s="46">
        <f t="shared" si="25"/>
        <v>3490.5148957692636</v>
      </c>
      <c r="AB59" s="46">
        <f t="shared" si="26"/>
        <v>124.6612462774737</v>
      </c>
      <c r="AC59" s="55">
        <f t="shared" si="27"/>
        <v>349.0514895769264</v>
      </c>
      <c r="AD59" s="55">
        <f t="shared" si="28"/>
        <v>12.466124627747371</v>
      </c>
      <c r="AE59" s="60">
        <f t="shared" si="29"/>
        <v>1.5301587301587303</v>
      </c>
      <c r="AF59" s="60">
        <f t="shared" si="30"/>
        <v>12.466124627747371</v>
      </c>
      <c r="AG59" s="60">
        <f t="shared" si="31"/>
        <v>13.996283357906101</v>
      </c>
      <c r="AH59" s="60">
        <f>'[4]Data'!$AG59</f>
        <v>6.401174114818645</v>
      </c>
      <c r="AI59" s="55">
        <f t="shared" si="32"/>
        <v>349.0514895769264</v>
      </c>
      <c r="AJ59" s="55">
        <f>'[4]Data'!$AC59</f>
        <v>117.98287521492207</v>
      </c>
      <c r="AK59" s="55">
        <f t="shared" si="33"/>
        <v>231.0686143620043</v>
      </c>
      <c r="AL59" s="55">
        <f t="shared" si="34"/>
        <v>9901.234948374014</v>
      </c>
    </row>
    <row r="60" spans="1:38" ht="18">
      <c r="A60" s="16"/>
      <c r="B60" s="46">
        <f t="shared" si="4"/>
        <v>37</v>
      </c>
      <c r="C60" s="50">
        <f t="shared" si="5"/>
        <v>41065</v>
      </c>
      <c r="D60" s="61">
        <f t="shared" si="6"/>
        <v>41093</v>
      </c>
      <c r="E60" s="46">
        <f t="shared" si="7"/>
        <v>4</v>
      </c>
      <c r="F60" s="50">
        <f t="shared" si="8"/>
        <v>41079</v>
      </c>
      <c r="G60" s="46">
        <f t="shared" si="9"/>
        <v>168</v>
      </c>
      <c r="H60" s="46">
        <f t="shared" si="10"/>
        <v>672</v>
      </c>
      <c r="I60" s="60">
        <f t="shared" si="11"/>
        <v>176</v>
      </c>
      <c r="J60" s="60">
        <f t="shared" si="12"/>
        <v>1086.4</v>
      </c>
      <c r="K60" s="60">
        <f t="shared" si="13"/>
        <v>280</v>
      </c>
      <c r="L60" s="48">
        <f t="shared" si="14"/>
        <v>9.876543209876544</v>
      </c>
      <c r="M60" s="60">
        <f t="shared" si="15"/>
        <v>0</v>
      </c>
      <c r="N60" s="55">
        <f t="shared" si="16"/>
        <v>1542.4</v>
      </c>
      <c r="O60" s="60">
        <f t="shared" si="0"/>
        <v>1.488803088803089</v>
      </c>
      <c r="P60" s="71">
        <f t="shared" si="17"/>
        <v>0.8997296352841392</v>
      </c>
      <c r="Q60" s="72">
        <f>('Initial pressure drop'!$H$73/1000)*Data!$H$24</f>
        <v>0.03997920271416455</v>
      </c>
      <c r="R60" s="73">
        <f t="shared" si="2"/>
        <v>0.9397088379983037</v>
      </c>
      <c r="S60" s="66">
        <f aca="true" t="shared" si="35" ref="S60:S71">AVERAGE(P60,R60)</f>
        <v>0.9197192366412215</v>
      </c>
      <c r="T60" s="46">
        <f t="shared" si="18"/>
        <v>32000</v>
      </c>
      <c r="U60" s="59">
        <f t="shared" si="19"/>
        <v>0.72</v>
      </c>
      <c r="V60" s="48">
        <f t="shared" si="20"/>
        <v>6.431153322433547</v>
      </c>
      <c r="W60" s="59">
        <f t="shared" si="21"/>
        <v>0.93</v>
      </c>
      <c r="X60" s="59">
        <f t="shared" si="22"/>
        <v>0.95</v>
      </c>
      <c r="Y60" s="48">
        <f t="shared" si="23"/>
        <v>5.43026641599935</v>
      </c>
      <c r="Z60" s="57">
        <f t="shared" si="24"/>
        <v>0.1</v>
      </c>
      <c r="AA60" s="46">
        <f t="shared" si="25"/>
        <v>3649.139031551563</v>
      </c>
      <c r="AB60" s="46">
        <f t="shared" si="26"/>
        <v>130.3263939839844</v>
      </c>
      <c r="AC60" s="55">
        <f t="shared" si="27"/>
        <v>364.91390315515633</v>
      </c>
      <c r="AD60" s="55">
        <f t="shared" si="28"/>
        <v>13.032639398398441</v>
      </c>
      <c r="AE60" s="60">
        <f t="shared" si="29"/>
        <v>1.488803088803089</v>
      </c>
      <c r="AF60" s="60">
        <f t="shared" si="30"/>
        <v>13.032639398398441</v>
      </c>
      <c r="AG60" s="60">
        <f t="shared" si="31"/>
        <v>14.52144248720153</v>
      </c>
      <c r="AH60" s="60">
        <f>'[4]Data'!$AG60</f>
        <v>6.419170301546564</v>
      </c>
      <c r="AI60" s="55">
        <f t="shared" si="32"/>
        <v>364.91390315515633</v>
      </c>
      <c r="AJ60" s="55">
        <f>'[4]Data'!$AC60</f>
        <v>120.34282904936441</v>
      </c>
      <c r="AK60" s="55">
        <f t="shared" si="33"/>
        <v>244.57107410579192</v>
      </c>
      <c r="AL60" s="55">
        <f t="shared" si="34"/>
        <v>10145.806022479806</v>
      </c>
    </row>
    <row r="61" spans="1:38" ht="18">
      <c r="A61" s="16"/>
      <c r="B61" s="46">
        <f t="shared" si="4"/>
        <v>38</v>
      </c>
      <c r="C61" s="50">
        <f t="shared" si="5"/>
        <v>41093</v>
      </c>
      <c r="D61" s="61">
        <f t="shared" si="6"/>
        <v>41121</v>
      </c>
      <c r="E61" s="46">
        <f t="shared" si="7"/>
        <v>4</v>
      </c>
      <c r="F61" s="50">
        <f t="shared" si="8"/>
        <v>41107</v>
      </c>
      <c r="G61" s="46">
        <f t="shared" si="9"/>
        <v>168</v>
      </c>
      <c r="H61" s="46">
        <f t="shared" si="10"/>
        <v>672</v>
      </c>
      <c r="I61" s="60">
        <f t="shared" si="11"/>
        <v>176</v>
      </c>
      <c r="J61" s="60">
        <f t="shared" si="12"/>
        <v>1086.4</v>
      </c>
      <c r="K61" s="60">
        <f t="shared" si="13"/>
        <v>280</v>
      </c>
      <c r="L61" s="48">
        <f t="shared" si="14"/>
        <v>9.876543209876544</v>
      </c>
      <c r="M61" s="60">
        <f t="shared" si="15"/>
        <v>0</v>
      </c>
      <c r="N61" s="55">
        <f t="shared" si="16"/>
        <v>1542.4</v>
      </c>
      <c r="O61" s="60">
        <f t="shared" si="0"/>
        <v>1.449624060150376</v>
      </c>
      <c r="P61" s="71">
        <f t="shared" si="17"/>
        <v>0.9397088379983037</v>
      </c>
      <c r="Q61" s="72">
        <f>('Initial pressure drop'!$H$73/1000)*Data!$H$24</f>
        <v>0.03997920271416455</v>
      </c>
      <c r="R61" s="73">
        <f t="shared" si="2"/>
        <v>0.9796880407124683</v>
      </c>
      <c r="S61" s="66">
        <f t="shared" si="35"/>
        <v>0.959698439355386</v>
      </c>
      <c r="T61" s="46">
        <f t="shared" si="18"/>
        <v>32000</v>
      </c>
      <c r="U61" s="59">
        <f t="shared" si="19"/>
        <v>0.72</v>
      </c>
      <c r="V61" s="48">
        <f t="shared" si="20"/>
        <v>6.710708617267226</v>
      </c>
      <c r="W61" s="59">
        <f t="shared" si="21"/>
        <v>0.93</v>
      </c>
      <c r="X61" s="59">
        <f t="shared" si="22"/>
        <v>0.95</v>
      </c>
      <c r="Y61" s="48">
        <f t="shared" si="23"/>
        <v>5.666314237103962</v>
      </c>
      <c r="Z61" s="57">
        <f t="shared" si="24"/>
        <v>0.1</v>
      </c>
      <c r="AA61" s="46">
        <f t="shared" si="25"/>
        <v>3807.7631673338624</v>
      </c>
      <c r="AB61" s="46">
        <f t="shared" si="26"/>
        <v>135.9915416904951</v>
      </c>
      <c r="AC61" s="55">
        <f t="shared" si="27"/>
        <v>380.77631673338624</v>
      </c>
      <c r="AD61" s="55">
        <f t="shared" si="28"/>
        <v>13.599154169049509</v>
      </c>
      <c r="AE61" s="60">
        <f t="shared" si="29"/>
        <v>1.449624060150376</v>
      </c>
      <c r="AF61" s="60">
        <f t="shared" si="30"/>
        <v>13.599154169049509</v>
      </c>
      <c r="AG61" s="60">
        <f t="shared" si="31"/>
        <v>15.048778229199884</v>
      </c>
      <c r="AH61" s="60">
        <f>'[4]Data'!$AG61</f>
        <v>6.441065775262006</v>
      </c>
      <c r="AI61" s="55">
        <f t="shared" si="32"/>
        <v>380.77631673338624</v>
      </c>
      <c r="AJ61" s="55">
        <f>'[4]Data'!$AC61</f>
        <v>122.70278288380676</v>
      </c>
      <c r="AK61" s="55">
        <f t="shared" si="33"/>
        <v>258.07353384957946</v>
      </c>
      <c r="AL61" s="55">
        <f t="shared" si="34"/>
        <v>10403.879556329386</v>
      </c>
    </row>
    <row r="62" spans="1:38" ht="18">
      <c r="A62" s="16"/>
      <c r="B62" s="46">
        <f t="shared" si="4"/>
        <v>39</v>
      </c>
      <c r="C62" s="50">
        <f t="shared" si="5"/>
        <v>41121</v>
      </c>
      <c r="D62" s="61">
        <f t="shared" si="6"/>
        <v>41149</v>
      </c>
      <c r="E62" s="46">
        <f t="shared" si="7"/>
        <v>4</v>
      </c>
      <c r="F62" s="50">
        <f t="shared" si="8"/>
        <v>41135</v>
      </c>
      <c r="G62" s="46">
        <f t="shared" si="9"/>
        <v>168</v>
      </c>
      <c r="H62" s="46">
        <f t="shared" si="10"/>
        <v>672</v>
      </c>
      <c r="I62" s="60">
        <f t="shared" si="11"/>
        <v>176</v>
      </c>
      <c r="J62" s="60">
        <f t="shared" si="12"/>
        <v>1086.4</v>
      </c>
      <c r="K62" s="60">
        <f t="shared" si="13"/>
        <v>280</v>
      </c>
      <c r="L62" s="48">
        <f t="shared" si="14"/>
        <v>9.876543209876544</v>
      </c>
      <c r="M62" s="60">
        <f t="shared" si="15"/>
        <v>0</v>
      </c>
      <c r="N62" s="55">
        <f t="shared" si="16"/>
        <v>1542.4</v>
      </c>
      <c r="O62" s="60">
        <f t="shared" si="0"/>
        <v>1.4124542124542125</v>
      </c>
      <c r="P62" s="71">
        <f t="shared" si="17"/>
        <v>0.9796880407124683</v>
      </c>
      <c r="Q62" s="72">
        <f>('Initial pressure drop'!$H$73/1000)*Data!$H$24</f>
        <v>0.03997920271416455</v>
      </c>
      <c r="R62" s="73">
        <f t="shared" si="2"/>
        <v>1.0196672434266327</v>
      </c>
      <c r="S62" s="66">
        <f t="shared" si="35"/>
        <v>0.9996776420695506</v>
      </c>
      <c r="T62" s="46">
        <f t="shared" si="18"/>
        <v>32000</v>
      </c>
      <c r="U62" s="59">
        <f t="shared" si="19"/>
        <v>0.72</v>
      </c>
      <c r="V62" s="48">
        <f t="shared" si="20"/>
        <v>6.9902639121009065</v>
      </c>
      <c r="W62" s="59">
        <f t="shared" si="21"/>
        <v>0.93</v>
      </c>
      <c r="X62" s="59">
        <f t="shared" si="22"/>
        <v>0.95</v>
      </c>
      <c r="Y62" s="48">
        <f t="shared" si="23"/>
        <v>5.902362058208575</v>
      </c>
      <c r="Z62" s="57">
        <f t="shared" si="24"/>
        <v>0.1</v>
      </c>
      <c r="AA62" s="46">
        <f t="shared" si="25"/>
        <v>3966.3873031161625</v>
      </c>
      <c r="AB62" s="46">
        <f t="shared" si="26"/>
        <v>141.6566893970058</v>
      </c>
      <c r="AC62" s="55">
        <f t="shared" si="27"/>
        <v>396.63873031161626</v>
      </c>
      <c r="AD62" s="55">
        <f t="shared" si="28"/>
        <v>14.16566893970058</v>
      </c>
      <c r="AE62" s="60">
        <f t="shared" si="29"/>
        <v>1.4124542124542125</v>
      </c>
      <c r="AF62" s="60">
        <f t="shared" si="30"/>
        <v>14.16566893970058</v>
      </c>
      <c r="AG62" s="60">
        <f t="shared" si="31"/>
        <v>15.578123152154793</v>
      </c>
      <c r="AH62" s="60">
        <f>'[4]Data'!$AG62</f>
        <v>6.466526311366039</v>
      </c>
      <c r="AI62" s="55">
        <f t="shared" si="32"/>
        <v>396.63873031161626</v>
      </c>
      <c r="AJ62" s="55">
        <f>'[4]Data'!$AC62</f>
        <v>125.06273671824908</v>
      </c>
      <c r="AK62" s="55">
        <f t="shared" si="33"/>
        <v>271.5759935933672</v>
      </c>
      <c r="AL62" s="55">
        <f t="shared" si="34"/>
        <v>10675.455549922754</v>
      </c>
    </row>
    <row r="63" spans="1:38" ht="18">
      <c r="A63" s="16"/>
      <c r="B63" s="46">
        <f t="shared" si="4"/>
        <v>40</v>
      </c>
      <c r="C63" s="50">
        <f t="shared" si="5"/>
        <v>41149</v>
      </c>
      <c r="D63" s="61">
        <f t="shared" si="6"/>
        <v>41177</v>
      </c>
      <c r="E63" s="46">
        <f t="shared" si="7"/>
        <v>4</v>
      </c>
      <c r="F63" s="50">
        <f t="shared" si="8"/>
        <v>41163</v>
      </c>
      <c r="G63" s="46">
        <f t="shared" si="9"/>
        <v>168</v>
      </c>
      <c r="H63" s="46">
        <f t="shared" si="10"/>
        <v>672</v>
      </c>
      <c r="I63" s="60">
        <f t="shared" si="11"/>
        <v>176</v>
      </c>
      <c r="J63" s="60">
        <f t="shared" si="12"/>
        <v>1086.4</v>
      </c>
      <c r="K63" s="60">
        <f t="shared" si="13"/>
        <v>280</v>
      </c>
      <c r="L63" s="48">
        <f t="shared" si="14"/>
        <v>9.876543209876544</v>
      </c>
      <c r="M63" s="60">
        <f t="shared" si="15"/>
        <v>0</v>
      </c>
      <c r="N63" s="55">
        <f t="shared" si="16"/>
        <v>1542.4</v>
      </c>
      <c r="O63" s="60">
        <f t="shared" si="0"/>
        <v>1.3771428571428572</v>
      </c>
      <c r="P63" s="71">
        <f t="shared" si="17"/>
        <v>1.0196672434266327</v>
      </c>
      <c r="Q63" s="72">
        <f>('Initial pressure drop'!$H$73/1000)*Data!$H$24</f>
        <v>0.03997920271416455</v>
      </c>
      <c r="R63" s="73">
        <f t="shared" si="2"/>
        <v>1.0596464461407973</v>
      </c>
      <c r="S63" s="66">
        <f t="shared" si="35"/>
        <v>1.039656844783715</v>
      </c>
      <c r="T63" s="46">
        <f t="shared" si="18"/>
        <v>32000</v>
      </c>
      <c r="U63" s="59">
        <f t="shared" si="19"/>
        <v>0.72</v>
      </c>
      <c r="V63" s="48">
        <f t="shared" si="20"/>
        <v>7.269819206934584</v>
      </c>
      <c r="W63" s="59">
        <f t="shared" si="21"/>
        <v>0.93</v>
      </c>
      <c r="X63" s="59">
        <f t="shared" si="22"/>
        <v>0.95</v>
      </c>
      <c r="Y63" s="48">
        <f t="shared" si="23"/>
        <v>6.138409879313187</v>
      </c>
      <c r="Z63" s="57">
        <f t="shared" si="24"/>
        <v>0.1</v>
      </c>
      <c r="AA63" s="46">
        <f t="shared" si="25"/>
        <v>4125.011438898462</v>
      </c>
      <c r="AB63" s="46">
        <f t="shared" si="26"/>
        <v>147.32183710351651</v>
      </c>
      <c r="AC63" s="55">
        <f t="shared" si="27"/>
        <v>412.5011438898462</v>
      </c>
      <c r="AD63" s="55">
        <f t="shared" si="28"/>
        <v>14.73218371035165</v>
      </c>
      <c r="AE63" s="60">
        <f t="shared" si="29"/>
        <v>1.3771428571428572</v>
      </c>
      <c r="AF63" s="60">
        <f t="shared" si="30"/>
        <v>14.73218371035165</v>
      </c>
      <c r="AG63" s="60">
        <f t="shared" si="31"/>
        <v>16.109326567494506</v>
      </c>
      <c r="AH63" s="60">
        <f>'[4]Data'!$AG63</f>
        <v>6.495254821326281</v>
      </c>
      <c r="AI63" s="55">
        <f t="shared" si="32"/>
        <v>412.5011438898462</v>
      </c>
      <c r="AJ63" s="55">
        <f>'[4]Data'!$AC63</f>
        <v>127.42269055269142</v>
      </c>
      <c r="AK63" s="55">
        <f t="shared" si="33"/>
        <v>285.07845333715477</v>
      </c>
      <c r="AL63" s="55">
        <f t="shared" si="34"/>
        <v>10960.534003259909</v>
      </c>
    </row>
    <row r="64" spans="1:38" ht="18">
      <c r="A64" s="16"/>
      <c r="B64" s="46">
        <f t="shared" si="4"/>
        <v>41</v>
      </c>
      <c r="C64" s="50">
        <f t="shared" si="5"/>
        <v>41177</v>
      </c>
      <c r="D64" s="61">
        <f t="shared" si="6"/>
        <v>41205</v>
      </c>
      <c r="E64" s="46">
        <f t="shared" si="7"/>
        <v>4</v>
      </c>
      <c r="F64" s="50">
        <f t="shared" si="8"/>
        <v>41191</v>
      </c>
      <c r="G64" s="46">
        <f t="shared" si="9"/>
        <v>168</v>
      </c>
      <c r="H64" s="46">
        <f t="shared" si="10"/>
        <v>672</v>
      </c>
      <c r="I64" s="60">
        <f t="shared" si="11"/>
        <v>176</v>
      </c>
      <c r="J64" s="60">
        <f t="shared" si="12"/>
        <v>1086.4</v>
      </c>
      <c r="K64" s="60">
        <f t="shared" si="13"/>
        <v>280</v>
      </c>
      <c r="L64" s="48">
        <f t="shared" si="14"/>
        <v>9.876543209876544</v>
      </c>
      <c r="M64" s="60">
        <f t="shared" si="15"/>
        <v>0</v>
      </c>
      <c r="N64" s="55">
        <f t="shared" si="16"/>
        <v>1542.4</v>
      </c>
      <c r="O64" s="60">
        <f t="shared" si="0"/>
        <v>1.3435540069686411</v>
      </c>
      <c r="P64" s="71">
        <f t="shared" si="17"/>
        <v>1.0596464461407973</v>
      </c>
      <c r="Q64" s="72">
        <f>('Initial pressure drop'!$H$73/1000)*Data!$H$24</f>
        <v>0.03997920271416455</v>
      </c>
      <c r="R64" s="73">
        <f t="shared" si="2"/>
        <v>1.0996256488549618</v>
      </c>
      <c r="S64" s="66">
        <f t="shared" si="35"/>
        <v>1.0796360474978797</v>
      </c>
      <c r="T64" s="46">
        <f t="shared" si="18"/>
        <v>32000</v>
      </c>
      <c r="U64" s="59">
        <f t="shared" si="19"/>
        <v>0.72</v>
      </c>
      <c r="V64" s="48">
        <f t="shared" si="20"/>
        <v>7.549374501768266</v>
      </c>
      <c r="W64" s="59">
        <f t="shared" si="21"/>
        <v>0.93</v>
      </c>
      <c r="X64" s="59">
        <f t="shared" si="22"/>
        <v>0.95</v>
      </c>
      <c r="Y64" s="48">
        <f t="shared" si="23"/>
        <v>6.374457700417801</v>
      </c>
      <c r="Z64" s="57">
        <f t="shared" si="24"/>
        <v>0.1</v>
      </c>
      <c r="AA64" s="46">
        <f t="shared" si="25"/>
        <v>4283.635574680762</v>
      </c>
      <c r="AB64" s="46">
        <f t="shared" si="26"/>
        <v>152.98698481002722</v>
      </c>
      <c r="AC64" s="55">
        <f t="shared" si="27"/>
        <v>428.36355746807624</v>
      </c>
      <c r="AD64" s="55">
        <f t="shared" si="28"/>
        <v>15.298698481002722</v>
      </c>
      <c r="AE64" s="60">
        <f t="shared" si="29"/>
        <v>1.3435540069686411</v>
      </c>
      <c r="AF64" s="60">
        <f t="shared" si="30"/>
        <v>15.298698481002722</v>
      </c>
      <c r="AG64" s="60">
        <f t="shared" si="31"/>
        <v>16.642252487971362</v>
      </c>
      <c r="AH64" s="60">
        <f>'[4]Data'!$AG64</f>
        <v>6.526986334289527</v>
      </c>
      <c r="AI64" s="55">
        <f t="shared" si="32"/>
        <v>428.36355746807624</v>
      </c>
      <c r="AJ64" s="55">
        <f>'[4]Data'!$AC64</f>
        <v>129.78264438713376</v>
      </c>
      <c r="AK64" s="55">
        <f t="shared" si="33"/>
        <v>298.5809130809425</v>
      </c>
      <c r="AL64" s="55">
        <f t="shared" si="34"/>
        <v>11259.114916340852</v>
      </c>
    </row>
    <row r="65" spans="1:38" ht="18">
      <c r="A65" s="16"/>
      <c r="B65" s="46">
        <f t="shared" si="4"/>
        <v>42</v>
      </c>
      <c r="C65" s="50">
        <f t="shared" si="5"/>
        <v>41205</v>
      </c>
      <c r="D65" s="61">
        <f t="shared" si="6"/>
        <v>41233</v>
      </c>
      <c r="E65" s="46">
        <f t="shared" si="7"/>
        <v>4</v>
      </c>
      <c r="F65" s="50">
        <f t="shared" si="8"/>
        <v>41219</v>
      </c>
      <c r="G65" s="46">
        <f t="shared" si="9"/>
        <v>168</v>
      </c>
      <c r="H65" s="46">
        <f t="shared" si="10"/>
        <v>672</v>
      </c>
      <c r="I65" s="60">
        <f t="shared" si="11"/>
        <v>176</v>
      </c>
      <c r="J65" s="60">
        <f t="shared" si="12"/>
        <v>1086.4</v>
      </c>
      <c r="K65" s="60">
        <f t="shared" si="13"/>
        <v>280</v>
      </c>
      <c r="L65" s="48">
        <f t="shared" si="14"/>
        <v>9.876543209876544</v>
      </c>
      <c r="M65" s="60">
        <f t="shared" si="15"/>
        <v>0</v>
      </c>
      <c r="N65" s="55">
        <f t="shared" si="16"/>
        <v>1542.4</v>
      </c>
      <c r="O65" s="60">
        <f t="shared" si="0"/>
        <v>1.3115646258503402</v>
      </c>
      <c r="P65" s="71">
        <f t="shared" si="17"/>
        <v>1.0996256488549618</v>
      </c>
      <c r="Q65" s="72">
        <f>('Initial pressure drop'!$H$73/1000)*Data!$H$24</f>
        <v>0.03997920271416455</v>
      </c>
      <c r="R65" s="73">
        <f t="shared" si="2"/>
        <v>1.1396048515691264</v>
      </c>
      <c r="S65" s="66">
        <f t="shared" si="35"/>
        <v>1.119615250212044</v>
      </c>
      <c r="T65" s="46">
        <f t="shared" si="18"/>
        <v>32000</v>
      </c>
      <c r="U65" s="59">
        <f t="shared" si="19"/>
        <v>0.72</v>
      </c>
      <c r="V65" s="48">
        <f t="shared" si="20"/>
        <v>7.828929796601944</v>
      </c>
      <c r="W65" s="59">
        <f t="shared" si="21"/>
        <v>0.93</v>
      </c>
      <c r="X65" s="59">
        <f t="shared" si="22"/>
        <v>0.95</v>
      </c>
      <c r="Y65" s="48">
        <f t="shared" si="23"/>
        <v>6.610505521522412</v>
      </c>
      <c r="Z65" s="57">
        <f t="shared" si="24"/>
        <v>0.1</v>
      </c>
      <c r="AA65" s="46">
        <f t="shared" si="25"/>
        <v>4442.25971046306</v>
      </c>
      <c r="AB65" s="46">
        <f t="shared" si="26"/>
        <v>158.65213251653788</v>
      </c>
      <c r="AC65" s="55">
        <f t="shared" si="27"/>
        <v>444.2259710463061</v>
      </c>
      <c r="AD65" s="55">
        <f t="shared" si="28"/>
        <v>15.865213251653788</v>
      </c>
      <c r="AE65" s="60">
        <f t="shared" si="29"/>
        <v>1.3115646258503402</v>
      </c>
      <c r="AF65" s="60">
        <f t="shared" si="30"/>
        <v>15.865213251653788</v>
      </c>
      <c r="AG65" s="60">
        <f t="shared" si="31"/>
        <v>17.17677787750413</v>
      </c>
      <c r="AH65" s="60">
        <f>'[4]Data'!$AG65</f>
        <v>6.561483771071327</v>
      </c>
      <c r="AI65" s="55">
        <f t="shared" si="32"/>
        <v>444.2259710463061</v>
      </c>
      <c r="AJ65" s="55">
        <f>'[4]Data'!$AC65</f>
        <v>132.1425982215761</v>
      </c>
      <c r="AK65" s="55">
        <f t="shared" si="33"/>
        <v>312.08337282472996</v>
      </c>
      <c r="AL65" s="55">
        <f t="shared" si="34"/>
        <v>11571.198289165583</v>
      </c>
    </row>
    <row r="66" spans="1:38" ht="18">
      <c r="A66" s="16"/>
      <c r="B66" s="46">
        <f t="shared" si="4"/>
        <v>43</v>
      </c>
      <c r="C66" s="50">
        <f t="shared" si="5"/>
        <v>41233</v>
      </c>
      <c r="D66" s="61">
        <f t="shared" si="6"/>
        <v>41261</v>
      </c>
      <c r="E66" s="46">
        <f t="shared" si="7"/>
        <v>4</v>
      </c>
      <c r="F66" s="50">
        <f t="shared" si="8"/>
        <v>41247</v>
      </c>
      <c r="G66" s="46">
        <f t="shared" si="9"/>
        <v>168</v>
      </c>
      <c r="H66" s="46">
        <f t="shared" si="10"/>
        <v>672</v>
      </c>
      <c r="I66" s="60">
        <f t="shared" si="11"/>
        <v>176</v>
      </c>
      <c r="J66" s="60">
        <f t="shared" si="12"/>
        <v>1086.4</v>
      </c>
      <c r="K66" s="60">
        <f t="shared" si="13"/>
        <v>280</v>
      </c>
      <c r="L66" s="48">
        <f t="shared" si="14"/>
        <v>9.876543209876544</v>
      </c>
      <c r="M66" s="60">
        <f t="shared" si="15"/>
        <v>0</v>
      </c>
      <c r="N66" s="55">
        <f t="shared" si="16"/>
        <v>1542.4</v>
      </c>
      <c r="O66" s="60">
        <f t="shared" si="0"/>
        <v>1.281063122923588</v>
      </c>
      <c r="P66" s="71">
        <f t="shared" si="17"/>
        <v>1.1396048515691264</v>
      </c>
      <c r="Q66" s="72">
        <f>('Initial pressure drop'!$H$73/1000)*Data!$H$24</f>
        <v>0.03997920271416455</v>
      </c>
      <c r="R66" s="73">
        <f t="shared" si="2"/>
        <v>1.179584054283291</v>
      </c>
      <c r="S66" s="66">
        <f t="shared" si="35"/>
        <v>1.1595944529262088</v>
      </c>
      <c r="T66" s="46">
        <f t="shared" si="18"/>
        <v>32000</v>
      </c>
      <c r="U66" s="59">
        <f t="shared" si="19"/>
        <v>0.72</v>
      </c>
      <c r="V66" s="48">
        <f t="shared" si="20"/>
        <v>8.108485091435625</v>
      </c>
      <c r="W66" s="59">
        <f t="shared" si="21"/>
        <v>0.93</v>
      </c>
      <c r="X66" s="59">
        <f t="shared" si="22"/>
        <v>0.95</v>
      </c>
      <c r="Y66" s="48">
        <f t="shared" si="23"/>
        <v>6.846553342627025</v>
      </c>
      <c r="Z66" s="57">
        <f t="shared" si="24"/>
        <v>0.1</v>
      </c>
      <c r="AA66" s="46">
        <f t="shared" si="25"/>
        <v>4600.8838462453605</v>
      </c>
      <c r="AB66" s="46">
        <f t="shared" si="26"/>
        <v>164.31728022304858</v>
      </c>
      <c r="AC66" s="55">
        <f t="shared" si="27"/>
        <v>460.08838462453605</v>
      </c>
      <c r="AD66" s="55">
        <f t="shared" si="28"/>
        <v>16.43172802230486</v>
      </c>
      <c r="AE66" s="60">
        <f t="shared" si="29"/>
        <v>1.281063122923588</v>
      </c>
      <c r="AF66" s="60">
        <f t="shared" si="30"/>
        <v>16.43172802230486</v>
      </c>
      <c r="AG66" s="60">
        <f t="shared" si="31"/>
        <v>17.712791145228447</v>
      </c>
      <c r="AH66" s="60">
        <f>'[4]Data'!$AG66</f>
        <v>6.598534368301024</v>
      </c>
      <c r="AI66" s="55">
        <f t="shared" si="32"/>
        <v>460.08838462453605</v>
      </c>
      <c r="AJ66" s="55">
        <f>'[4]Data'!$AC66</f>
        <v>134.50255205601843</v>
      </c>
      <c r="AK66" s="55">
        <f t="shared" si="33"/>
        <v>325.5858325685176</v>
      </c>
      <c r="AL66" s="55">
        <f t="shared" si="34"/>
        <v>11896.784121734101</v>
      </c>
    </row>
    <row r="67" spans="1:38" ht="18">
      <c r="A67" s="16"/>
      <c r="B67" s="46">
        <f t="shared" si="4"/>
        <v>44</v>
      </c>
      <c r="C67" s="50">
        <f t="shared" si="5"/>
        <v>41261</v>
      </c>
      <c r="D67" s="61">
        <f t="shared" si="6"/>
        <v>41289</v>
      </c>
      <c r="E67" s="46">
        <f t="shared" si="7"/>
        <v>4</v>
      </c>
      <c r="F67" s="50">
        <f t="shared" si="8"/>
        <v>41275</v>
      </c>
      <c r="G67" s="46">
        <f t="shared" si="9"/>
        <v>168</v>
      </c>
      <c r="H67" s="46">
        <f t="shared" si="10"/>
        <v>672</v>
      </c>
      <c r="I67" s="60">
        <f t="shared" si="11"/>
        <v>176</v>
      </c>
      <c r="J67" s="60">
        <f t="shared" si="12"/>
        <v>1086.4</v>
      </c>
      <c r="K67" s="60">
        <f t="shared" si="13"/>
        <v>280</v>
      </c>
      <c r="L67" s="48">
        <f t="shared" si="14"/>
        <v>9.876543209876544</v>
      </c>
      <c r="M67" s="60">
        <f t="shared" si="15"/>
        <v>0</v>
      </c>
      <c r="N67" s="55">
        <f t="shared" si="16"/>
        <v>1542.4</v>
      </c>
      <c r="O67" s="60">
        <f t="shared" si="0"/>
        <v>1.251948051948052</v>
      </c>
      <c r="P67" s="71">
        <f t="shared" si="17"/>
        <v>1.179584054283291</v>
      </c>
      <c r="Q67" s="72">
        <f>('Initial pressure drop'!$H$73/1000)*Data!$H$24</f>
        <v>0.03997920271416455</v>
      </c>
      <c r="R67" s="73">
        <f t="shared" si="2"/>
        <v>1.2195632569974555</v>
      </c>
      <c r="S67" s="66">
        <f t="shared" si="35"/>
        <v>1.199573655640373</v>
      </c>
      <c r="T67" s="46">
        <f t="shared" si="18"/>
        <v>32000</v>
      </c>
      <c r="U67" s="59">
        <f t="shared" si="19"/>
        <v>0.72</v>
      </c>
      <c r="V67" s="48">
        <f t="shared" si="20"/>
        <v>8.388040386269305</v>
      </c>
      <c r="W67" s="59">
        <f t="shared" si="21"/>
        <v>0.93</v>
      </c>
      <c r="X67" s="59">
        <f t="shared" si="22"/>
        <v>0.95</v>
      </c>
      <c r="Y67" s="48">
        <f t="shared" si="23"/>
        <v>7.082601163731637</v>
      </c>
      <c r="Z67" s="57">
        <f t="shared" si="24"/>
        <v>0.1</v>
      </c>
      <c r="AA67" s="46">
        <f t="shared" si="25"/>
        <v>4759.50798202766</v>
      </c>
      <c r="AB67" s="46">
        <f t="shared" si="26"/>
        <v>169.98242792955926</v>
      </c>
      <c r="AC67" s="55">
        <f t="shared" si="27"/>
        <v>475.950798202766</v>
      </c>
      <c r="AD67" s="55">
        <f t="shared" si="28"/>
        <v>16.998242792955928</v>
      </c>
      <c r="AE67" s="60">
        <f t="shared" si="29"/>
        <v>1.251948051948052</v>
      </c>
      <c r="AF67" s="60">
        <f t="shared" si="30"/>
        <v>16.998242792955928</v>
      </c>
      <c r="AG67" s="60">
        <f t="shared" si="31"/>
        <v>18.25019084490398</v>
      </c>
      <c r="AH67" s="60">
        <f>'[4]Data'!$AG67</f>
        <v>6.637946638945027</v>
      </c>
      <c r="AI67" s="55">
        <f t="shared" si="32"/>
        <v>475.950798202766</v>
      </c>
      <c r="AJ67" s="55">
        <f>'[4]Data'!$AC67</f>
        <v>136.86250589046077</v>
      </c>
      <c r="AK67" s="55">
        <f t="shared" si="33"/>
        <v>339.08829231230527</v>
      </c>
      <c r="AL67" s="55">
        <f t="shared" si="34"/>
        <v>12235.872414046406</v>
      </c>
    </row>
    <row r="68" spans="1:38" ht="18">
      <c r="A68" s="16"/>
      <c r="B68" s="46">
        <f t="shared" si="4"/>
        <v>45</v>
      </c>
      <c r="C68" s="50">
        <f t="shared" si="5"/>
        <v>41289</v>
      </c>
      <c r="D68" s="61">
        <f t="shared" si="6"/>
        <v>41317</v>
      </c>
      <c r="E68" s="46">
        <f t="shared" si="7"/>
        <v>4</v>
      </c>
      <c r="F68" s="50">
        <f t="shared" si="8"/>
        <v>41303</v>
      </c>
      <c r="G68" s="46">
        <f t="shared" si="9"/>
        <v>168</v>
      </c>
      <c r="H68" s="46">
        <f t="shared" si="10"/>
        <v>672</v>
      </c>
      <c r="I68" s="60">
        <f t="shared" si="11"/>
        <v>176</v>
      </c>
      <c r="J68" s="60">
        <f t="shared" si="12"/>
        <v>1086.4</v>
      </c>
      <c r="K68" s="60">
        <f t="shared" si="13"/>
        <v>280</v>
      </c>
      <c r="L68" s="48">
        <f t="shared" si="14"/>
        <v>9.876543209876544</v>
      </c>
      <c r="M68" s="60">
        <f t="shared" si="15"/>
        <v>0</v>
      </c>
      <c r="N68" s="55">
        <f t="shared" si="16"/>
        <v>1542.4</v>
      </c>
      <c r="O68" s="60">
        <f t="shared" si="0"/>
        <v>1.2241269841269842</v>
      </c>
      <c r="P68" s="71">
        <f t="shared" si="17"/>
        <v>1.2195632569974555</v>
      </c>
      <c r="Q68" s="72">
        <f>('Initial pressure drop'!$H$73/1000)*Data!$H$24</f>
        <v>0.03997920271416455</v>
      </c>
      <c r="R68" s="73">
        <f t="shared" si="2"/>
        <v>1.25954245971162</v>
      </c>
      <c r="S68" s="66">
        <f t="shared" si="35"/>
        <v>1.2395528583545379</v>
      </c>
      <c r="T68" s="46">
        <f t="shared" si="18"/>
        <v>32000</v>
      </c>
      <c r="U68" s="59">
        <f t="shared" si="19"/>
        <v>0.72</v>
      </c>
      <c r="V68" s="48">
        <f t="shared" si="20"/>
        <v>8.667595681102986</v>
      </c>
      <c r="W68" s="59">
        <f t="shared" si="21"/>
        <v>0.93</v>
      </c>
      <c r="X68" s="59">
        <f t="shared" si="22"/>
        <v>0.95</v>
      </c>
      <c r="Y68" s="48">
        <f t="shared" si="23"/>
        <v>7.318648984836251</v>
      </c>
      <c r="Z68" s="57">
        <f t="shared" si="24"/>
        <v>0.1</v>
      </c>
      <c r="AA68" s="46">
        <f t="shared" si="25"/>
        <v>4918.132117809961</v>
      </c>
      <c r="AB68" s="46">
        <f t="shared" si="26"/>
        <v>175.64757563607003</v>
      </c>
      <c r="AC68" s="55">
        <f t="shared" si="27"/>
        <v>491.8132117809961</v>
      </c>
      <c r="AD68" s="55">
        <f t="shared" si="28"/>
        <v>17.564757563607003</v>
      </c>
      <c r="AE68" s="60">
        <f t="shared" si="29"/>
        <v>1.2241269841269842</v>
      </c>
      <c r="AF68" s="60">
        <f t="shared" si="30"/>
        <v>17.564757563607003</v>
      </c>
      <c r="AG68" s="60">
        <f t="shared" si="31"/>
        <v>18.788884547733986</v>
      </c>
      <c r="AH68" s="60">
        <f>'[4]Data'!$AG68</f>
        <v>6.679547777631557</v>
      </c>
      <c r="AI68" s="55">
        <f t="shared" si="32"/>
        <v>491.8132117809961</v>
      </c>
      <c r="AJ68" s="55">
        <f>'[4]Data'!$AC68</f>
        <v>139.2224597249031</v>
      </c>
      <c r="AK68" s="55">
        <f t="shared" si="33"/>
        <v>352.590752056093</v>
      </c>
      <c r="AL68" s="55">
        <f t="shared" si="34"/>
        <v>12588.463166102498</v>
      </c>
    </row>
    <row r="69" spans="1:38" ht="18">
      <c r="A69" s="16"/>
      <c r="B69" s="46">
        <f t="shared" si="4"/>
        <v>46</v>
      </c>
      <c r="C69" s="50">
        <f t="shared" si="5"/>
        <v>41317</v>
      </c>
      <c r="D69" s="61">
        <f t="shared" si="6"/>
        <v>41345</v>
      </c>
      <c r="E69" s="46">
        <f t="shared" si="7"/>
        <v>4</v>
      </c>
      <c r="F69" s="50">
        <f t="shared" si="8"/>
        <v>41331</v>
      </c>
      <c r="G69" s="46">
        <f t="shared" si="9"/>
        <v>168</v>
      </c>
      <c r="H69" s="46">
        <f t="shared" si="10"/>
        <v>672</v>
      </c>
      <c r="I69" s="60">
        <f t="shared" si="11"/>
        <v>176</v>
      </c>
      <c r="J69" s="60">
        <f t="shared" si="12"/>
        <v>1086.4</v>
      </c>
      <c r="K69" s="60">
        <f t="shared" si="13"/>
        <v>280</v>
      </c>
      <c r="L69" s="48">
        <f t="shared" si="14"/>
        <v>9.876543209876544</v>
      </c>
      <c r="M69" s="60">
        <f t="shared" si="15"/>
        <v>0</v>
      </c>
      <c r="N69" s="55">
        <f t="shared" si="16"/>
        <v>1542.4</v>
      </c>
      <c r="O69" s="60">
        <f t="shared" si="0"/>
        <v>1.1975155279503107</v>
      </c>
      <c r="P69" s="71">
        <f t="shared" si="17"/>
        <v>1.25954245971162</v>
      </c>
      <c r="Q69" s="72">
        <f>('Initial pressure drop'!$H$73/1000)*Data!$H$24</f>
        <v>0.03997920271416455</v>
      </c>
      <c r="R69" s="73">
        <f t="shared" si="2"/>
        <v>1.2995216624257846</v>
      </c>
      <c r="S69" s="66">
        <f t="shared" si="35"/>
        <v>1.2795320610687022</v>
      </c>
      <c r="T69" s="46">
        <f t="shared" si="18"/>
        <v>32000</v>
      </c>
      <c r="U69" s="59">
        <f t="shared" si="19"/>
        <v>0.72</v>
      </c>
      <c r="V69" s="48">
        <f t="shared" si="20"/>
        <v>8.947150975936664</v>
      </c>
      <c r="W69" s="59">
        <f t="shared" si="21"/>
        <v>0.93</v>
      </c>
      <c r="X69" s="59">
        <f t="shared" si="22"/>
        <v>0.95</v>
      </c>
      <c r="Y69" s="48">
        <f t="shared" si="23"/>
        <v>7.554696805940862</v>
      </c>
      <c r="Z69" s="57">
        <f t="shared" si="24"/>
        <v>0.1</v>
      </c>
      <c r="AA69" s="46">
        <f t="shared" si="25"/>
        <v>5076.75625359226</v>
      </c>
      <c r="AB69" s="46">
        <f t="shared" si="26"/>
        <v>181.3127233425807</v>
      </c>
      <c r="AC69" s="55">
        <f t="shared" si="27"/>
        <v>507.675625359226</v>
      </c>
      <c r="AD69" s="55">
        <f t="shared" si="28"/>
        <v>18.13127233425807</v>
      </c>
      <c r="AE69" s="60">
        <f t="shared" si="29"/>
        <v>1.1975155279503107</v>
      </c>
      <c r="AF69" s="60">
        <f t="shared" si="30"/>
        <v>18.13127233425807</v>
      </c>
      <c r="AG69" s="60">
        <f t="shared" si="31"/>
        <v>19.328787862208383</v>
      </c>
      <c r="AH69" s="60">
        <f>'[4]Data'!$AG69</f>
        <v>6.72318143664329</v>
      </c>
      <c r="AI69" s="55">
        <f t="shared" si="32"/>
        <v>507.675625359226</v>
      </c>
      <c r="AJ69" s="55">
        <f>'[4]Data'!$AC69</f>
        <v>141.58241355934544</v>
      </c>
      <c r="AK69" s="55">
        <f t="shared" si="33"/>
        <v>366.0932117998806</v>
      </c>
      <c r="AL69" s="55">
        <f t="shared" si="34"/>
        <v>12954.556377902378</v>
      </c>
    </row>
    <row r="70" spans="1:38" ht="18">
      <c r="A70" s="16"/>
      <c r="B70" s="46">
        <f t="shared" si="4"/>
        <v>47</v>
      </c>
      <c r="C70" s="50">
        <f t="shared" si="5"/>
        <v>41345</v>
      </c>
      <c r="D70" s="61">
        <f t="shared" si="6"/>
        <v>41373</v>
      </c>
      <c r="E70" s="46">
        <f t="shared" si="7"/>
        <v>4</v>
      </c>
      <c r="F70" s="50">
        <f t="shared" si="8"/>
        <v>41359</v>
      </c>
      <c r="G70" s="46">
        <f t="shared" si="9"/>
        <v>168</v>
      </c>
      <c r="H70" s="46">
        <f t="shared" si="10"/>
        <v>672</v>
      </c>
      <c r="I70" s="60">
        <f t="shared" si="11"/>
        <v>176</v>
      </c>
      <c r="J70" s="60">
        <f t="shared" si="12"/>
        <v>1086.4</v>
      </c>
      <c r="K70" s="60">
        <f t="shared" si="13"/>
        <v>280</v>
      </c>
      <c r="L70" s="48">
        <f t="shared" si="14"/>
        <v>9.876543209876544</v>
      </c>
      <c r="M70" s="60">
        <f t="shared" si="15"/>
        <v>0</v>
      </c>
      <c r="N70" s="55">
        <f t="shared" si="16"/>
        <v>1542.4</v>
      </c>
      <c r="O70" s="60">
        <f t="shared" si="0"/>
        <v>1.1720364741641338</v>
      </c>
      <c r="P70" s="71">
        <f t="shared" si="17"/>
        <v>1.2995216624257846</v>
      </c>
      <c r="Q70" s="72">
        <f>('Initial pressure drop'!$H$73/1000)*Data!$H$24</f>
        <v>0.03997920271416455</v>
      </c>
      <c r="R70" s="73">
        <f t="shared" si="2"/>
        <v>1.3395008651399491</v>
      </c>
      <c r="S70" s="66">
        <f t="shared" si="35"/>
        <v>1.319511263782867</v>
      </c>
      <c r="T70" s="46">
        <f t="shared" si="18"/>
        <v>32000</v>
      </c>
      <c r="U70" s="59">
        <f t="shared" si="19"/>
        <v>0.72</v>
      </c>
      <c r="V70" s="48">
        <f t="shared" si="20"/>
        <v>9.226706270770345</v>
      </c>
      <c r="W70" s="59">
        <f t="shared" si="21"/>
        <v>0.93</v>
      </c>
      <c r="X70" s="59">
        <f t="shared" si="22"/>
        <v>0.95</v>
      </c>
      <c r="Y70" s="48">
        <f t="shared" si="23"/>
        <v>7.790744627045475</v>
      </c>
      <c r="Z70" s="57">
        <f t="shared" si="24"/>
        <v>0.1</v>
      </c>
      <c r="AA70" s="46">
        <f t="shared" si="25"/>
        <v>5235.380389374559</v>
      </c>
      <c r="AB70" s="46">
        <f t="shared" si="26"/>
        <v>186.9778710490914</v>
      </c>
      <c r="AC70" s="55">
        <f t="shared" si="27"/>
        <v>523.5380389374559</v>
      </c>
      <c r="AD70" s="55">
        <f t="shared" si="28"/>
        <v>18.69778710490914</v>
      </c>
      <c r="AE70" s="60">
        <f t="shared" si="29"/>
        <v>1.1720364741641338</v>
      </c>
      <c r="AF70" s="60">
        <f t="shared" si="30"/>
        <v>18.69778710490914</v>
      </c>
      <c r="AG70" s="60">
        <f t="shared" si="31"/>
        <v>19.869823579073273</v>
      </c>
      <c r="AH70" s="60">
        <f>'[4]Data'!$AG70</f>
        <v>6.768705812236607</v>
      </c>
      <c r="AI70" s="55">
        <f t="shared" si="32"/>
        <v>523.5380389374559</v>
      </c>
      <c r="AJ70" s="55">
        <f>'[4]Data'!$AC70</f>
        <v>143.94236739378778</v>
      </c>
      <c r="AK70" s="55">
        <f t="shared" si="33"/>
        <v>379.5956715436681</v>
      </c>
      <c r="AL70" s="55">
        <f t="shared" si="34"/>
        <v>13334.152049446046</v>
      </c>
    </row>
    <row r="71" spans="1:38" ht="18">
      <c r="A71" s="16"/>
      <c r="B71" s="46">
        <f t="shared" si="4"/>
        <v>48</v>
      </c>
      <c r="C71" s="50">
        <f t="shared" si="5"/>
        <v>41373</v>
      </c>
      <c r="D71" s="61">
        <f t="shared" si="6"/>
        <v>41401</v>
      </c>
      <c r="E71" s="46">
        <f t="shared" si="7"/>
        <v>4</v>
      </c>
      <c r="F71" s="50">
        <f t="shared" si="8"/>
        <v>41387</v>
      </c>
      <c r="G71" s="46">
        <f t="shared" si="9"/>
        <v>168</v>
      </c>
      <c r="H71" s="46">
        <f t="shared" si="10"/>
        <v>672</v>
      </c>
      <c r="I71" s="60">
        <f t="shared" si="11"/>
        <v>176</v>
      </c>
      <c r="J71" s="60">
        <f t="shared" si="12"/>
        <v>1086.4</v>
      </c>
      <c r="K71" s="60">
        <f t="shared" si="13"/>
        <v>280</v>
      </c>
      <c r="L71" s="48">
        <f t="shared" si="14"/>
        <v>9.876543209876544</v>
      </c>
      <c r="M71" s="60">
        <f t="shared" si="15"/>
        <v>0</v>
      </c>
      <c r="N71" s="55">
        <f t="shared" si="16"/>
        <v>1542.4</v>
      </c>
      <c r="O71" s="60">
        <f t="shared" si="0"/>
        <v>1.1476190476190478</v>
      </c>
      <c r="P71" s="71">
        <f t="shared" si="17"/>
        <v>1.3395008651399491</v>
      </c>
      <c r="Q71" s="72">
        <f>('Initial pressure drop'!$H$73/1000)*Data!$H$24</f>
        <v>0.03997920271416455</v>
      </c>
      <c r="R71" s="73">
        <f t="shared" si="2"/>
        <v>1.3794800678541137</v>
      </c>
      <c r="S71" s="66">
        <f t="shared" si="35"/>
        <v>1.3594904664970313</v>
      </c>
      <c r="T71" s="46">
        <f t="shared" si="18"/>
        <v>32000</v>
      </c>
      <c r="U71" s="59">
        <f t="shared" si="19"/>
        <v>0.72</v>
      </c>
      <c r="V71" s="48">
        <f t="shared" si="20"/>
        <v>9.506261565604024</v>
      </c>
      <c r="W71" s="59">
        <f t="shared" si="21"/>
        <v>0.93</v>
      </c>
      <c r="X71" s="59">
        <f t="shared" si="22"/>
        <v>0.95</v>
      </c>
      <c r="Y71" s="48">
        <f t="shared" si="23"/>
        <v>8.026792448150088</v>
      </c>
      <c r="Z71" s="57">
        <f t="shared" si="24"/>
        <v>0.1</v>
      </c>
      <c r="AA71" s="46">
        <f t="shared" si="25"/>
        <v>5394.004525156859</v>
      </c>
      <c r="AB71" s="46">
        <f t="shared" si="26"/>
        <v>192.6430187556021</v>
      </c>
      <c r="AC71" s="55">
        <f t="shared" si="27"/>
        <v>539.400452515686</v>
      </c>
      <c r="AD71" s="55">
        <f t="shared" si="28"/>
        <v>19.264301875560214</v>
      </c>
      <c r="AE71" s="60">
        <f t="shared" si="29"/>
        <v>1.1476190476190478</v>
      </c>
      <c r="AF71" s="60">
        <f t="shared" si="30"/>
        <v>19.264301875560214</v>
      </c>
      <c r="AG71" s="60">
        <f t="shared" si="31"/>
        <v>20.411920923179263</v>
      </c>
      <c r="AH71" s="60">
        <f>'[4]Data'!$AG71</f>
        <v>6.81599199191731</v>
      </c>
      <c r="AI71" s="55">
        <f t="shared" si="32"/>
        <v>539.400452515686</v>
      </c>
      <c r="AJ71" s="55">
        <f>'[4]Data'!$AC71</f>
        <v>146.30232122823014</v>
      </c>
      <c r="AK71" s="55">
        <f t="shared" si="33"/>
        <v>393.09813128745583</v>
      </c>
      <c r="AL71" s="55">
        <f t="shared" si="34"/>
        <v>13727.250180733501</v>
      </c>
    </row>
    <row r="72" spans="1:38" s="86" customFormat="1" ht="18">
      <c r="A72" s="81"/>
      <c r="B72" s="82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4"/>
      <c r="P72" s="85"/>
      <c r="Q72" s="85"/>
      <c r="R72" s="85"/>
      <c r="S72" s="85"/>
      <c r="T72" s="83"/>
      <c r="U72" s="83"/>
      <c r="V72" s="83"/>
      <c r="W72" s="83"/>
      <c r="X72" s="83"/>
      <c r="Y72" s="83"/>
      <c r="Z72" s="83"/>
      <c r="AA72" s="82">
        <f>SUM(AA24:AA71)</f>
        <v>163896.35987393177</v>
      </c>
      <c r="AB72" s="83"/>
      <c r="AC72" s="87">
        <f>SUM(AC24:AC71)</f>
        <v>16389.63598739318</v>
      </c>
      <c r="AD72" s="83"/>
      <c r="AE72" s="84"/>
      <c r="AF72" s="84"/>
      <c r="AG72" s="84"/>
      <c r="AH72" s="84"/>
      <c r="AI72" s="84"/>
      <c r="AJ72" s="84"/>
      <c r="AK72" s="84"/>
      <c r="AL72" s="84"/>
    </row>
    <row r="73" spans="1:2" ht="18">
      <c r="A73" s="16"/>
      <c r="B73" s="47"/>
    </row>
    <row r="74" ht="18">
      <c r="A74" s="16"/>
    </row>
    <row r="75" spans="1:2" ht="18">
      <c r="A75" s="16"/>
      <c r="B75" s="48"/>
    </row>
    <row r="76" ht="18">
      <c r="A76" s="16"/>
    </row>
    <row r="77" ht="18">
      <c r="A77" s="16"/>
    </row>
    <row r="78" ht="18">
      <c r="A78" s="16"/>
    </row>
    <row r="79" ht="18">
      <c r="A79" s="16"/>
    </row>
    <row r="80" ht="18">
      <c r="A80" s="16"/>
    </row>
    <row r="81" ht="18">
      <c r="A81" s="16"/>
    </row>
    <row r="82" ht="18">
      <c r="A82" s="16"/>
    </row>
    <row r="83" ht="18">
      <c r="A83" s="16"/>
    </row>
    <row r="84" ht="18">
      <c r="A84" s="16"/>
    </row>
    <row r="85" ht="18">
      <c r="A85" s="16"/>
    </row>
    <row r="86" ht="18">
      <c r="A86" s="16"/>
    </row>
    <row r="87" ht="18">
      <c r="A87" s="20"/>
    </row>
    <row r="88" ht="18">
      <c r="A88" s="16"/>
    </row>
    <row r="89" ht="18">
      <c r="A89" s="21"/>
    </row>
    <row r="92" ht="18">
      <c r="A92" s="16"/>
    </row>
    <row r="93" ht="18">
      <c r="A93" s="16"/>
    </row>
    <row r="94" ht="18">
      <c r="A94" s="16"/>
    </row>
    <row r="95" spans="1:2" ht="18">
      <c r="A95" s="16"/>
      <c r="B95" s="47"/>
    </row>
    <row r="96" ht="18">
      <c r="A96" s="16"/>
    </row>
    <row r="97" ht="18">
      <c r="A97" s="16"/>
    </row>
    <row r="98" ht="18">
      <c r="A98" s="16"/>
    </row>
  </sheetData>
  <sheetProtection/>
  <mergeCells count="51">
    <mergeCell ref="Z21:Z23"/>
    <mergeCell ref="AA22:AA23"/>
    <mergeCell ref="AB22:AB23"/>
    <mergeCell ref="W21:W23"/>
    <mergeCell ref="X21:X23"/>
    <mergeCell ref="P22:P23"/>
    <mergeCell ref="Q22:Q23"/>
    <mergeCell ref="R22:R23"/>
    <mergeCell ref="D21:D23"/>
    <mergeCell ref="E21:E23"/>
    <mergeCell ref="AD22:AD23"/>
    <mergeCell ref="U21:U23"/>
    <mergeCell ref="V21:V23"/>
    <mergeCell ref="Y21:Y23"/>
    <mergeCell ref="AA21:AB21"/>
    <mergeCell ref="AE21:AE23"/>
    <mergeCell ref="AF21:AF23"/>
    <mergeCell ref="I22:I23"/>
    <mergeCell ref="J22:J23"/>
    <mergeCell ref="K22:K23"/>
    <mergeCell ref="AC21:AD21"/>
    <mergeCell ref="I21:N21"/>
    <mergeCell ref="T21:T23"/>
    <mergeCell ref="AC22:AC23"/>
    <mergeCell ref="O21:O23"/>
    <mergeCell ref="B11:E11"/>
    <mergeCell ref="L10:O10"/>
    <mergeCell ref="L11:O11"/>
    <mergeCell ref="B12:F12"/>
    <mergeCell ref="C13:F13"/>
    <mergeCell ref="B17:F17"/>
    <mergeCell ref="B5:E5"/>
    <mergeCell ref="B20:H20"/>
    <mergeCell ref="I20:T20"/>
    <mergeCell ref="L9:O9"/>
    <mergeCell ref="B16:F16"/>
    <mergeCell ref="AH20:AH23"/>
    <mergeCell ref="B21:B23"/>
    <mergeCell ref="C21:C23"/>
    <mergeCell ref="AE20:AG20"/>
    <mergeCell ref="B10:E10"/>
    <mergeCell ref="AI22:AJ22"/>
    <mergeCell ref="P21:S21"/>
    <mergeCell ref="F21:F23"/>
    <mergeCell ref="G21:G23"/>
    <mergeCell ref="H21:H23"/>
    <mergeCell ref="U20:AD20"/>
    <mergeCell ref="AG21:AG23"/>
    <mergeCell ref="L22:M22"/>
    <mergeCell ref="N22:N23"/>
    <mergeCell ref="S22:S23"/>
  </mergeCells>
  <conditionalFormatting sqref="AG24:AL71">
    <cfRule type="expression" priority="1" dxfId="1" stopIfTrue="1">
      <formula>IF(AG25&lt;=AG24,IF(AG25&lt;=AG26,1,0))</formula>
    </cfRule>
  </conditionalFormatting>
  <printOptions/>
  <pageMargins left="0.75" right="0.75" top="1" bottom="1" header="0.5" footer="0.5"/>
  <pageSetup horizontalDpi="600" verticalDpi="600" orientation="landscape" scale="61" r:id="rId2"/>
  <headerFooter alignWithMargins="0">
    <oddFooter>&amp;LPage &amp;P of &amp;N of Sheet &amp;A of File &amp;F
Printed on &amp;D at &amp;T
DAS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73"/>
  <sheetViews>
    <sheetView defaultGridColor="0" zoomScalePageLayoutView="0" colorId="22" workbookViewId="0" topLeftCell="A1">
      <selection activeCell="C22" sqref="C22:D22"/>
    </sheetView>
  </sheetViews>
  <sheetFormatPr defaultColWidth="11" defaultRowHeight="19.5"/>
  <cols>
    <col min="1" max="1" width="15.69921875" style="1" customWidth="1"/>
    <col min="2" max="2" width="45.69921875" style="2" customWidth="1"/>
    <col min="3" max="4" width="10.69921875" style="1" customWidth="1"/>
    <col min="5" max="5" width="11" style="1" customWidth="1"/>
    <col min="6" max="6" width="11.69921875" style="1" customWidth="1"/>
    <col min="7" max="8" width="10.69921875" style="1" customWidth="1"/>
    <col min="9" max="9" width="11" style="1" customWidth="1"/>
    <col min="10" max="10" width="11.69921875" style="1" customWidth="1"/>
    <col min="11" max="11" width="13.69921875" style="1" customWidth="1"/>
    <col min="12" max="13" width="11" style="1" customWidth="1"/>
    <col min="14" max="15" width="14.69921875" style="1" customWidth="1"/>
    <col min="16" max="17" width="15.69921875" style="1" customWidth="1"/>
    <col min="18" max="18" width="11" style="1" customWidth="1"/>
    <col min="19" max="19" width="11.69921875" style="1" customWidth="1"/>
    <col min="20" max="20" width="14.69921875" style="1" customWidth="1"/>
    <col min="21" max="16384" width="11" style="1" customWidth="1"/>
  </cols>
  <sheetData>
    <row r="1" spans="2:3" s="29" customFormat="1" ht="138.75" customHeight="1">
      <c r="B1" s="30"/>
      <c r="C1" s="31"/>
    </row>
    <row r="2" spans="1:3" ht="19.5" customHeight="1">
      <c r="A2" s="4" t="s">
        <v>10</v>
      </c>
      <c r="B2" s="5"/>
      <c r="C2" s="3"/>
    </row>
    <row r="3" spans="1:3" ht="19.5" customHeight="1">
      <c r="A3" s="4" t="s">
        <v>11</v>
      </c>
      <c r="B3" s="5"/>
      <c r="C3" s="3"/>
    </row>
    <row r="4" spans="1:4" ht="18">
      <c r="A4" s="6" t="s">
        <v>0</v>
      </c>
      <c r="B4" s="26"/>
      <c r="C4" s="3"/>
      <c r="D4" s="3"/>
    </row>
    <row r="5" spans="1:14" s="11" customFormat="1" ht="18">
      <c r="A5" s="7" t="s">
        <v>5</v>
      </c>
      <c r="B5" s="32">
        <v>39540.3317693287</v>
      </c>
      <c r="C5" s="13"/>
      <c r="D5" s="13"/>
      <c r="E5" s="8"/>
      <c r="F5" s="8"/>
      <c r="G5" s="9"/>
      <c r="H5" s="8"/>
      <c r="I5" s="8"/>
      <c r="J5" s="8"/>
      <c r="K5" s="8"/>
      <c r="L5" s="10"/>
      <c r="M5" s="8"/>
      <c r="N5" s="8"/>
    </row>
    <row r="6" spans="1:14" s="11" customFormat="1" ht="18">
      <c r="A6" s="7" t="s">
        <v>1</v>
      </c>
      <c r="B6" s="27" t="s">
        <v>49</v>
      </c>
      <c r="C6" s="13"/>
      <c r="D6" s="13"/>
      <c r="E6" s="8"/>
      <c r="F6" s="8"/>
      <c r="G6" s="9"/>
      <c r="H6" s="8"/>
      <c r="I6" s="8"/>
      <c r="J6" s="8"/>
      <c r="K6" s="8"/>
      <c r="L6" s="10"/>
      <c r="M6" s="8"/>
      <c r="N6" s="8"/>
    </row>
    <row r="7" spans="1:14" s="11" customFormat="1" ht="18">
      <c r="A7" s="7" t="s">
        <v>2</v>
      </c>
      <c r="B7" s="27" t="s">
        <v>7</v>
      </c>
      <c r="C7" s="13"/>
      <c r="D7" s="13"/>
      <c r="E7" s="8"/>
      <c r="F7" s="8"/>
      <c r="G7" s="9"/>
      <c r="H7" s="8"/>
      <c r="I7" s="8"/>
      <c r="J7" s="8"/>
      <c r="K7" s="8"/>
      <c r="L7" s="10"/>
      <c r="M7" s="8"/>
      <c r="N7" s="8"/>
    </row>
    <row r="8" spans="1:14" s="11" customFormat="1" ht="18">
      <c r="A8" s="7" t="s">
        <v>3</v>
      </c>
      <c r="B8" s="27" t="s">
        <v>18</v>
      </c>
      <c r="C8" s="13"/>
      <c r="D8" s="13"/>
      <c r="E8" s="8"/>
      <c r="F8" s="8"/>
      <c r="G8" s="9"/>
      <c r="H8" s="8"/>
      <c r="I8" s="8"/>
      <c r="J8" s="8"/>
      <c r="K8" s="8"/>
      <c r="L8" s="10"/>
      <c r="M8" s="8"/>
      <c r="N8" s="8"/>
    </row>
    <row r="9" spans="1:14" s="11" customFormat="1" ht="18">
      <c r="A9" s="12" t="s">
        <v>4</v>
      </c>
      <c r="B9" s="13"/>
      <c r="C9" s="13"/>
      <c r="D9" s="13"/>
      <c r="E9" s="8"/>
      <c r="F9" s="8"/>
      <c r="G9" s="8"/>
      <c r="H9" s="8"/>
      <c r="I9" s="8"/>
      <c r="J9" s="8"/>
      <c r="K9" s="8"/>
      <c r="L9" s="10"/>
      <c r="M9" s="8"/>
      <c r="N9" s="8"/>
    </row>
    <row r="10" spans="1:14" s="11" customFormat="1" ht="18">
      <c r="A10" s="14">
        <v>1</v>
      </c>
      <c r="B10" s="27" t="s">
        <v>9</v>
      </c>
      <c r="C10" s="13"/>
      <c r="D10" s="25"/>
      <c r="E10" s="8"/>
      <c r="F10" s="8"/>
      <c r="G10" s="9"/>
      <c r="H10" s="8"/>
      <c r="I10" s="8"/>
      <c r="J10" s="8"/>
      <c r="K10" s="8"/>
      <c r="L10" s="10"/>
      <c r="M10" s="8"/>
      <c r="N10" s="8"/>
    </row>
    <row r="11" spans="1:14" s="11" customFormat="1" ht="18">
      <c r="A11" s="14">
        <f>A10+1</f>
        <v>2</v>
      </c>
      <c r="B11" s="27" t="s">
        <v>9</v>
      </c>
      <c r="C11" s="13"/>
      <c r="D11" s="13"/>
      <c r="E11" s="8"/>
      <c r="F11" s="8"/>
      <c r="G11" s="9"/>
      <c r="H11" s="8"/>
      <c r="I11" s="8"/>
      <c r="J11" s="8"/>
      <c r="K11" s="8"/>
      <c r="L11" s="10"/>
      <c r="M11" s="8"/>
      <c r="N11" s="8"/>
    </row>
    <row r="12" spans="1:14" s="11" customFormat="1" ht="18">
      <c r="A12" s="14">
        <f>A11+1</f>
        <v>3</v>
      </c>
      <c r="B12" s="27" t="s">
        <v>9</v>
      </c>
      <c r="C12" s="13"/>
      <c r="D12" s="13"/>
      <c r="E12" s="8"/>
      <c r="F12" s="8"/>
      <c r="G12" s="9"/>
      <c r="H12" s="8"/>
      <c r="I12" s="8"/>
      <c r="J12" s="8"/>
      <c r="K12" s="8"/>
      <c r="L12" s="10"/>
      <c r="M12" s="8"/>
      <c r="N12" s="8"/>
    </row>
    <row r="13" spans="1:14" s="11" customFormat="1" ht="18">
      <c r="A13" s="14">
        <f>A12+1</f>
        <v>4</v>
      </c>
      <c r="B13" s="27" t="s">
        <v>9</v>
      </c>
      <c r="C13" s="13"/>
      <c r="D13" s="13"/>
      <c r="E13" s="8"/>
      <c r="F13" s="8"/>
      <c r="G13" s="9"/>
      <c r="H13" s="8"/>
      <c r="I13" s="8"/>
      <c r="J13" s="8"/>
      <c r="K13" s="8"/>
      <c r="L13" s="10"/>
      <c r="M13" s="8"/>
      <c r="N13" s="8"/>
    </row>
    <row r="14" spans="1:14" s="11" customFormat="1" ht="18">
      <c r="A14" s="14">
        <v>5</v>
      </c>
      <c r="B14" s="27" t="s">
        <v>9</v>
      </c>
      <c r="C14" s="13"/>
      <c r="D14" s="13"/>
      <c r="E14" s="8"/>
      <c r="F14" s="8"/>
      <c r="G14" s="9"/>
      <c r="H14" s="8"/>
      <c r="I14" s="8"/>
      <c r="J14" s="8"/>
      <c r="K14" s="8"/>
      <c r="L14" s="10"/>
      <c r="M14" s="8"/>
      <c r="N14" s="8"/>
    </row>
    <row r="15" spans="1:14" s="11" customFormat="1" ht="18">
      <c r="A15" s="14">
        <v>6</v>
      </c>
      <c r="B15" s="27" t="s">
        <v>9</v>
      </c>
      <c r="C15" s="13"/>
      <c r="D15" s="13"/>
      <c r="E15" s="8"/>
      <c r="F15" s="8"/>
      <c r="G15" s="9"/>
      <c r="H15" s="8"/>
      <c r="I15" s="8"/>
      <c r="J15" s="8"/>
      <c r="K15" s="8"/>
      <c r="L15" s="10"/>
      <c r="M15" s="8"/>
      <c r="N15" s="8"/>
    </row>
    <row r="16" spans="1:14" s="11" customFormat="1" ht="18">
      <c r="A16" s="14">
        <v>7</v>
      </c>
      <c r="B16" s="27" t="s">
        <v>9</v>
      </c>
      <c r="C16" s="13"/>
      <c r="D16" s="13"/>
      <c r="E16" s="8"/>
      <c r="F16" s="8"/>
      <c r="G16" s="9"/>
      <c r="H16" s="8"/>
      <c r="I16" s="8"/>
      <c r="J16" s="8"/>
      <c r="K16" s="8"/>
      <c r="L16" s="10"/>
      <c r="M16" s="8"/>
      <c r="N16" s="8"/>
    </row>
    <row r="17" spans="1:14" s="11" customFormat="1" ht="18">
      <c r="A17" s="14">
        <v>8</v>
      </c>
      <c r="B17" s="27" t="s">
        <v>9</v>
      </c>
      <c r="C17" s="13"/>
      <c r="D17" s="13"/>
      <c r="E17" s="8"/>
      <c r="F17" s="8"/>
      <c r="G17" s="9"/>
      <c r="H17" s="8"/>
      <c r="I17" s="8"/>
      <c r="J17" s="8"/>
      <c r="K17" s="8"/>
      <c r="L17" s="10"/>
      <c r="M17" s="8"/>
      <c r="N17" s="8"/>
    </row>
    <row r="18" spans="1:2" ht="18">
      <c r="A18" s="15" t="s">
        <v>50</v>
      </c>
      <c r="B18" s="28"/>
    </row>
    <row r="19" ht="18">
      <c r="A19" s="62" t="s">
        <v>51</v>
      </c>
    </row>
    <row r="20" spans="2:3" ht="18">
      <c r="B20" s="63" t="s">
        <v>38</v>
      </c>
      <c r="C20" s="18"/>
    </row>
    <row r="21" spans="1:3" ht="18">
      <c r="A21" s="16"/>
      <c r="B21" s="63" t="s">
        <v>52</v>
      </c>
      <c r="C21" s="18"/>
    </row>
    <row r="22" spans="1:4" ht="18">
      <c r="A22" s="16"/>
      <c r="B22" s="17"/>
      <c r="C22" s="172" t="s">
        <v>53</v>
      </c>
      <c r="D22" s="181"/>
    </row>
    <row r="23" spans="1:4" ht="18">
      <c r="A23" s="16"/>
      <c r="C23" s="46">
        <v>375</v>
      </c>
      <c r="D23" s="46">
        <v>500</v>
      </c>
    </row>
    <row r="24" spans="1:4" ht="18">
      <c r="A24" s="16"/>
      <c r="B24" s="49" t="s">
        <v>54</v>
      </c>
      <c r="C24" s="48">
        <v>0.18</v>
      </c>
      <c r="D24" s="48">
        <v>0.28</v>
      </c>
    </row>
    <row r="25" spans="1:4" ht="18">
      <c r="A25" s="16"/>
      <c r="B25" s="49" t="s">
        <v>55</v>
      </c>
      <c r="C25" s="48">
        <v>0.18</v>
      </c>
      <c r="D25" s="48">
        <f>C25*(D23/C23)</f>
        <v>0.24</v>
      </c>
    </row>
    <row r="26" spans="1:4" ht="18">
      <c r="A26" s="16"/>
      <c r="B26" s="49" t="s">
        <v>56</v>
      </c>
      <c r="C26" s="48">
        <v>0.18</v>
      </c>
      <c r="D26" s="48">
        <f>C26*((D23/C23)^2)</f>
        <v>0.31999999999999995</v>
      </c>
    </row>
    <row r="27" ht="18">
      <c r="A27" s="16"/>
    </row>
    <row r="28" spans="1:3" ht="18">
      <c r="A28" s="16"/>
      <c r="B28" s="49" t="s">
        <v>57</v>
      </c>
      <c r="C28" s="46">
        <f>'[1]AHU-C'!I12</f>
        <v>407.5208333333333</v>
      </c>
    </row>
    <row r="29" spans="1:3" ht="18">
      <c r="A29" s="16"/>
      <c r="B29" s="49" t="s">
        <v>58</v>
      </c>
      <c r="C29" s="48">
        <f>C24*(C28/C23)</f>
        <v>0.19560999999999998</v>
      </c>
    </row>
    <row r="30" ht="18">
      <c r="A30" s="16"/>
    </row>
    <row r="31" spans="1:2" ht="18">
      <c r="A31" s="16"/>
      <c r="B31" s="64" t="s">
        <v>59</v>
      </c>
    </row>
    <row r="32" spans="1:3" ht="18">
      <c r="A32" s="16"/>
      <c r="B32" s="63" t="s">
        <v>60</v>
      </c>
      <c r="C32" s="18"/>
    </row>
    <row r="33" spans="1:5" ht="18">
      <c r="A33" s="16"/>
      <c r="B33" s="17"/>
      <c r="C33" s="172" t="s">
        <v>53</v>
      </c>
      <c r="D33" s="181"/>
      <c r="E33" s="181"/>
    </row>
    <row r="34" spans="1:5" ht="18">
      <c r="A34" s="16"/>
      <c r="C34" s="46">
        <f>1500/((24*24/144))</f>
        <v>375</v>
      </c>
      <c r="D34" s="46">
        <f>2000/((24*24/144))</f>
        <v>500</v>
      </c>
      <c r="E34" s="46">
        <f>2500/((24*24/144))</f>
        <v>625</v>
      </c>
    </row>
    <row r="35" spans="1:5" ht="18">
      <c r="A35" s="16"/>
      <c r="B35" s="49" t="s">
        <v>54</v>
      </c>
      <c r="C35" s="48">
        <v>0.2</v>
      </c>
      <c r="D35" s="48">
        <v>0.25</v>
      </c>
      <c r="E35" s="48">
        <v>0.37</v>
      </c>
    </row>
    <row r="36" spans="1:5" ht="18">
      <c r="A36" s="16"/>
      <c r="B36" s="49" t="s">
        <v>55</v>
      </c>
      <c r="C36" s="48">
        <v>0.2</v>
      </c>
      <c r="D36" s="48">
        <f>C36*(D34/C34)</f>
        <v>0.26666666666666666</v>
      </c>
      <c r="E36" s="48">
        <f>C36*(E34/C34)</f>
        <v>0.33333333333333337</v>
      </c>
    </row>
    <row r="37" spans="1:5" ht="18">
      <c r="A37" s="16"/>
      <c r="B37" s="49" t="s">
        <v>56</v>
      </c>
      <c r="C37" s="48">
        <v>0.2</v>
      </c>
      <c r="D37" s="48">
        <f>C37*((D34/C34)^2)</f>
        <v>0.35555555555555557</v>
      </c>
      <c r="E37" s="48">
        <f>C37*((E34/C34)^2)</f>
        <v>0.5555555555555557</v>
      </c>
    </row>
    <row r="38" spans="1:3" ht="18">
      <c r="A38" s="16"/>
      <c r="B38" s="17"/>
      <c r="C38" s="18"/>
    </row>
    <row r="39" spans="1:3" ht="18">
      <c r="A39" s="16"/>
      <c r="B39" s="49" t="s">
        <v>57</v>
      </c>
      <c r="C39" s="46">
        <f>'[1]AHU-C'!I12</f>
        <v>407.5208333333333</v>
      </c>
    </row>
    <row r="40" spans="1:3" ht="18">
      <c r="A40" s="20"/>
      <c r="B40" s="49" t="s">
        <v>58</v>
      </c>
      <c r="C40" s="48">
        <f>C35*(C39/C34)</f>
        <v>0.21734444444444445</v>
      </c>
    </row>
    <row r="41" spans="1:3" ht="18">
      <c r="A41" s="16"/>
      <c r="B41" s="46"/>
      <c r="C41" s="18"/>
    </row>
    <row r="42" spans="1:3" ht="18">
      <c r="A42" s="21"/>
      <c r="B42" s="49" t="s">
        <v>61</v>
      </c>
      <c r="C42" s="48">
        <f>C29+C40</f>
        <v>0.4129544444444444</v>
      </c>
    </row>
    <row r="43" spans="2:3" ht="18">
      <c r="B43" s="17"/>
      <c r="C43" s="18"/>
    </row>
    <row r="44" spans="1:3" ht="19.5">
      <c r="A44" s="62" t="s">
        <v>62</v>
      </c>
      <c r="B44" s="17"/>
      <c r="C44" s="18"/>
    </row>
    <row r="45" spans="1:3" ht="19.5">
      <c r="A45" s="16"/>
      <c r="B45" s="22"/>
      <c r="C45" s="23"/>
    </row>
    <row r="46" spans="1:3" ht="19.5">
      <c r="A46" s="16"/>
      <c r="B46" s="22"/>
      <c r="C46" s="23"/>
    </row>
    <row r="47" spans="1:3" ht="19.5">
      <c r="A47" s="16"/>
      <c r="B47" s="22"/>
      <c r="C47" s="23"/>
    </row>
    <row r="48" spans="1:3" ht="19.5">
      <c r="A48" s="16"/>
      <c r="B48" s="24"/>
      <c r="C48" s="23"/>
    </row>
    <row r="49" spans="1:3" ht="19.5">
      <c r="A49" s="16"/>
      <c r="B49" s="22"/>
      <c r="C49" s="23"/>
    </row>
    <row r="50" spans="1:3" ht="19.5">
      <c r="A50" s="16"/>
      <c r="C50" s="23"/>
    </row>
    <row r="51" spans="1:3" ht="19.5">
      <c r="A51" s="16"/>
      <c r="C51" s="23"/>
    </row>
    <row r="52" ht="19.5"/>
    <row r="53" ht="19.5"/>
    <row r="54" ht="19.5"/>
    <row r="55" ht="19.5"/>
    <row r="56" ht="19.5"/>
    <row r="57" ht="19.5"/>
    <row r="58" ht="19.5"/>
    <row r="59" ht="18">
      <c r="B59" s="198" t="s">
        <v>142</v>
      </c>
    </row>
    <row r="60" spans="2:3" ht="18">
      <c r="B60" s="49" t="s">
        <v>63</v>
      </c>
      <c r="C60" s="46">
        <f>'[1]AHU A'!I13</f>
        <v>338.8541666666667</v>
      </c>
    </row>
    <row r="61" spans="2:3" ht="18">
      <c r="B61" s="49" t="s">
        <v>64</v>
      </c>
      <c r="C61" s="46">
        <f>((24*20)/144)*C60</f>
        <v>1129.513888888889</v>
      </c>
    </row>
    <row r="62" spans="2:3" ht="18">
      <c r="B62" s="49" t="s">
        <v>58</v>
      </c>
      <c r="C62" s="48">
        <f>0.16*(C61/1000)</f>
        <v>0.18072222222222223</v>
      </c>
    </row>
    <row r="64" ht="18">
      <c r="A64" s="62" t="s">
        <v>65</v>
      </c>
    </row>
    <row r="65" spans="2:4" ht="18">
      <c r="B65" s="64" t="s">
        <v>66</v>
      </c>
      <c r="C65" s="1">
        <v>10</v>
      </c>
      <c r="D65" s="62" t="s">
        <v>67</v>
      </c>
    </row>
    <row r="66" spans="2:4" ht="18">
      <c r="B66" s="64" t="s">
        <v>68</v>
      </c>
      <c r="C66" s="1">
        <v>62</v>
      </c>
      <c r="D66" s="62" t="s">
        <v>69</v>
      </c>
    </row>
    <row r="67" spans="2:3" ht="18">
      <c r="B67" s="64" t="s">
        <v>70</v>
      </c>
      <c r="C67" s="1">
        <v>24</v>
      </c>
    </row>
    <row r="68" ht="18">
      <c r="B68" s="64"/>
    </row>
    <row r="70" spans="2:10" ht="37.5" customHeight="1">
      <c r="B70" s="190" t="s">
        <v>71</v>
      </c>
      <c r="C70" s="182" t="s">
        <v>21</v>
      </c>
      <c r="D70" s="167"/>
      <c r="E70" s="182" t="s">
        <v>72</v>
      </c>
      <c r="F70" s="167"/>
      <c r="G70" s="182" t="s">
        <v>73</v>
      </c>
      <c r="H70" s="167"/>
      <c r="I70" s="182"/>
      <c r="J70" s="167"/>
    </row>
    <row r="71" spans="2:10" ht="18">
      <c r="B71" s="181"/>
      <c r="C71" s="45" t="s">
        <v>62</v>
      </c>
      <c r="D71" s="45" t="s">
        <v>51</v>
      </c>
      <c r="E71" s="45" t="s">
        <v>62</v>
      </c>
      <c r="F71" s="45" t="s">
        <v>51</v>
      </c>
      <c r="G71" s="45" t="s">
        <v>62</v>
      </c>
      <c r="H71" s="45" t="s">
        <v>51</v>
      </c>
      <c r="I71" s="45"/>
      <c r="J71" s="45"/>
    </row>
    <row r="72" spans="2:6" ht="18">
      <c r="B72" s="65">
        <v>39376</v>
      </c>
      <c r="C72" s="48">
        <f>C62</f>
        <v>0.18072222222222223</v>
      </c>
      <c r="D72" s="48">
        <f>C42</f>
        <v>0.4129544444444444</v>
      </c>
      <c r="E72" s="46">
        <v>0</v>
      </c>
      <c r="F72" s="46">
        <v>0</v>
      </c>
    </row>
    <row r="73" spans="2:10" ht="18">
      <c r="B73" s="65">
        <v>39507</v>
      </c>
      <c r="C73" s="48">
        <v>0.2</v>
      </c>
      <c r="D73" s="48">
        <v>0.6</v>
      </c>
      <c r="E73" s="46">
        <f>(((B73-B72)-C66)*C65)+(C66*24)</f>
        <v>2178</v>
      </c>
      <c r="F73" s="46">
        <f>(B73-B72)*C67</f>
        <v>3144</v>
      </c>
      <c r="G73" s="66">
        <f>((C73-C72)/(E73-E72))*1000</f>
        <v>0.00885113763901643</v>
      </c>
      <c r="H73" s="66">
        <f>((D73-D72)/(F73-F72))*1000</f>
        <v>0.05949286118179249</v>
      </c>
      <c r="I73" s="66"/>
      <c r="J73" s="66"/>
    </row>
  </sheetData>
  <sheetProtection/>
  <mergeCells count="7">
    <mergeCell ref="I70:J70"/>
    <mergeCell ref="B70:B71"/>
    <mergeCell ref="G70:H70"/>
    <mergeCell ref="C22:D22"/>
    <mergeCell ref="C33:E33"/>
    <mergeCell ref="C70:D70"/>
    <mergeCell ref="E70:F70"/>
  </mergeCells>
  <printOptions/>
  <pageMargins left="0.75" right="0.75" top="1" bottom="1" header="0.5" footer="0.5"/>
  <pageSetup horizontalDpi="600" verticalDpi="600" orientation="landscape" scale="61" r:id="rId2"/>
  <headerFooter alignWithMargins="0">
    <oddFooter>&amp;LPage &amp;P of &amp;N of Sheet &amp;A of File &amp;F
Printed on &amp;D at &amp;T
DAS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O88"/>
  <sheetViews>
    <sheetView defaultGridColor="0" zoomScalePageLayoutView="0" colorId="22" workbookViewId="0" topLeftCell="A32">
      <selection activeCell="D38" sqref="D38:D56"/>
    </sheetView>
  </sheetViews>
  <sheetFormatPr defaultColWidth="11" defaultRowHeight="19.5"/>
  <cols>
    <col min="1" max="1" width="15.69921875" style="1" customWidth="1"/>
    <col min="2" max="2" width="25.69921875" style="2" customWidth="1"/>
    <col min="3" max="3" width="11.69921875" style="1" customWidth="1"/>
    <col min="4" max="4" width="9.69921875" style="1" customWidth="1"/>
    <col min="5" max="5" width="11" style="1" customWidth="1"/>
    <col min="6" max="7" width="11.69921875" style="1" customWidth="1"/>
    <col min="8" max="8" width="11.69921875" style="40" customWidth="1"/>
    <col min="9" max="9" width="13.69921875" style="1" customWidth="1"/>
    <col min="10" max="10" width="20.69921875" style="1" customWidth="1"/>
    <col min="11" max="15" width="8.69921875" style="1" customWidth="1"/>
    <col min="16" max="16" width="10.69921875" style="1" customWidth="1"/>
    <col min="17" max="18" width="15.69921875" style="1" customWidth="1"/>
    <col min="19" max="19" width="11" style="1" customWidth="1"/>
    <col min="20" max="20" width="11.69921875" style="1" customWidth="1"/>
    <col min="21" max="21" width="14.69921875" style="1" customWidth="1"/>
    <col min="22" max="16384" width="11" style="1" customWidth="1"/>
  </cols>
  <sheetData>
    <row r="1" spans="2:8" s="159" customFormat="1" ht="93" customHeight="1">
      <c r="B1" s="160"/>
      <c r="C1" s="161"/>
      <c r="H1" s="162"/>
    </row>
    <row r="2" spans="1:8" s="164" customFormat="1" ht="19.5" customHeight="1">
      <c r="A2" s="4" t="s">
        <v>10</v>
      </c>
      <c r="B2" s="5"/>
      <c r="C2" s="163"/>
      <c r="H2" s="165"/>
    </row>
    <row r="3" spans="1:8" s="164" customFormat="1" ht="19.5" customHeight="1">
      <c r="A3" s="4" t="s">
        <v>11</v>
      </c>
      <c r="B3" s="5"/>
      <c r="C3" s="163"/>
      <c r="H3" s="165"/>
    </row>
    <row r="4" spans="1:8" s="164" customFormat="1" ht="18">
      <c r="A4" s="166" t="s">
        <v>0</v>
      </c>
      <c r="B4" s="26"/>
      <c r="C4" s="163"/>
      <c r="D4" s="163"/>
      <c r="H4" s="165"/>
    </row>
    <row r="5" spans="1:14" s="11" customFormat="1" ht="18">
      <c r="A5" s="7" t="s">
        <v>5</v>
      </c>
      <c r="B5" s="32">
        <v>40030.54329861111</v>
      </c>
      <c r="C5" s="13"/>
      <c r="D5" s="13"/>
      <c r="E5" s="8"/>
      <c r="F5" s="8"/>
      <c r="G5" s="8"/>
      <c r="H5" s="9"/>
      <c r="I5" s="8"/>
      <c r="J5" s="8"/>
      <c r="K5" s="8"/>
      <c r="L5" s="10"/>
      <c r="M5" s="8"/>
      <c r="N5" s="8"/>
    </row>
    <row r="6" spans="1:14" s="11" customFormat="1" ht="18">
      <c r="A6" s="7" t="s">
        <v>1</v>
      </c>
      <c r="B6" s="27" t="s">
        <v>137</v>
      </c>
      <c r="C6" s="13"/>
      <c r="D6" s="13"/>
      <c r="E6" s="8"/>
      <c r="F6" s="8"/>
      <c r="G6" s="8"/>
      <c r="H6" s="9"/>
      <c r="I6" s="8"/>
      <c r="J6" s="8"/>
      <c r="K6" s="8"/>
      <c r="L6" s="10"/>
      <c r="M6" s="8"/>
      <c r="N6" s="8"/>
    </row>
    <row r="7" spans="1:14" s="11" customFormat="1" ht="18">
      <c r="A7" s="7" t="s">
        <v>2</v>
      </c>
      <c r="B7" s="27" t="s">
        <v>138</v>
      </c>
      <c r="C7" s="13"/>
      <c r="D7" s="13"/>
      <c r="E7" s="8"/>
      <c r="F7" s="8"/>
      <c r="G7" s="8"/>
      <c r="H7" s="9"/>
      <c r="I7" s="8"/>
      <c r="J7" s="8"/>
      <c r="K7" s="8"/>
      <c r="L7" s="10"/>
      <c r="M7" s="8"/>
      <c r="N7" s="8"/>
    </row>
    <row r="8" spans="1:14" s="11" customFormat="1" ht="18">
      <c r="A8" s="7" t="s">
        <v>3</v>
      </c>
      <c r="B8" s="27" t="s">
        <v>139</v>
      </c>
      <c r="C8" s="13"/>
      <c r="D8" s="13"/>
      <c r="E8" s="8"/>
      <c r="F8" s="8"/>
      <c r="G8" s="8"/>
      <c r="H8" s="9"/>
      <c r="I8" s="8"/>
      <c r="J8" s="8"/>
      <c r="K8" s="8"/>
      <c r="L8" s="10"/>
      <c r="M8" s="8"/>
      <c r="N8" s="8"/>
    </row>
    <row r="9" spans="1:14" s="11" customFormat="1" ht="18">
      <c r="A9" s="12" t="s">
        <v>140</v>
      </c>
      <c r="B9" s="13" t="s">
        <v>141</v>
      </c>
      <c r="C9" s="13"/>
      <c r="D9" s="13"/>
      <c r="E9" s="8"/>
      <c r="F9" s="8"/>
      <c r="G9" s="8"/>
      <c r="H9" s="8"/>
      <c r="I9" s="8"/>
      <c r="J9" s="8"/>
      <c r="K9" s="8"/>
      <c r="L9" s="10"/>
      <c r="M9" s="8"/>
      <c r="N9" s="8"/>
    </row>
    <row r="10" spans="1:14" s="11" customFormat="1" ht="18">
      <c r="A10" s="14" t="s">
        <v>4</v>
      </c>
      <c r="B10" s="27"/>
      <c r="C10" s="13"/>
      <c r="D10" s="25"/>
      <c r="E10" s="8"/>
      <c r="F10" s="8"/>
      <c r="G10" s="8"/>
      <c r="H10" s="9"/>
      <c r="I10" s="8"/>
      <c r="J10" s="8"/>
      <c r="K10" s="8"/>
      <c r="L10" s="10"/>
      <c r="M10" s="8"/>
      <c r="N10" s="8"/>
    </row>
    <row r="11" spans="1:15" s="11" customFormat="1" ht="18">
      <c r="A11" s="14">
        <v>1</v>
      </c>
      <c r="B11" s="155" t="s">
        <v>9</v>
      </c>
      <c r="C11" s="157"/>
      <c r="D11" s="27"/>
      <c r="E11" s="8"/>
      <c r="F11" s="8"/>
      <c r="G11" s="8"/>
      <c r="H11" s="9"/>
      <c r="I11" s="8"/>
      <c r="J11" s="8"/>
      <c r="K11" s="8"/>
      <c r="L11" s="8"/>
      <c r="M11" s="10"/>
      <c r="N11" s="8"/>
      <c r="O11" s="8"/>
    </row>
    <row r="12" spans="1:15" s="11" customFormat="1" ht="18">
      <c r="A12" s="14">
        <f>A11+1</f>
        <v>2</v>
      </c>
      <c r="B12" s="155" t="s">
        <v>9</v>
      </c>
      <c r="C12" s="157"/>
      <c r="D12" s="27"/>
      <c r="E12" s="8"/>
      <c r="F12" s="8"/>
      <c r="G12" s="8"/>
      <c r="H12" s="9"/>
      <c r="I12" s="8"/>
      <c r="J12" s="8"/>
      <c r="K12" s="8"/>
      <c r="L12" s="8"/>
      <c r="M12" s="10"/>
      <c r="N12" s="8"/>
      <c r="O12" s="8"/>
    </row>
    <row r="13" spans="1:15" s="11" customFormat="1" ht="18">
      <c r="A13" s="14">
        <f>A12+1</f>
        <v>3</v>
      </c>
      <c r="B13" s="155" t="s">
        <v>9</v>
      </c>
      <c r="C13" s="157"/>
      <c r="D13" s="27"/>
      <c r="E13" s="8"/>
      <c r="F13" s="8"/>
      <c r="G13" s="8"/>
      <c r="H13" s="9"/>
      <c r="I13" s="8"/>
      <c r="J13" s="8"/>
      <c r="K13" s="8"/>
      <c r="L13" s="8"/>
      <c r="M13" s="10"/>
      <c r="N13" s="8"/>
      <c r="O13" s="8"/>
    </row>
    <row r="14" spans="1:15" s="11" customFormat="1" ht="18">
      <c r="A14" s="14">
        <f>A13+1</f>
        <v>4</v>
      </c>
      <c r="B14" s="155" t="s">
        <v>9</v>
      </c>
      <c r="C14" s="157"/>
      <c r="D14" s="27"/>
      <c r="E14" s="8"/>
      <c r="F14" s="8"/>
      <c r="G14" s="8"/>
      <c r="H14" s="9"/>
      <c r="I14" s="8"/>
      <c r="J14" s="8"/>
      <c r="K14" s="8"/>
      <c r="L14" s="8"/>
      <c r="M14" s="10"/>
      <c r="N14" s="8"/>
      <c r="O14" s="8"/>
    </row>
    <row r="15" spans="1:15" s="11" customFormat="1" ht="18">
      <c r="A15" s="14">
        <v>5</v>
      </c>
      <c r="B15" s="155" t="s">
        <v>9</v>
      </c>
      <c r="C15" s="157"/>
      <c r="D15" s="27"/>
      <c r="E15" s="8"/>
      <c r="F15" s="8"/>
      <c r="G15" s="8"/>
      <c r="H15" s="9"/>
      <c r="I15" s="8"/>
      <c r="J15" s="8"/>
      <c r="K15" s="8"/>
      <c r="L15" s="8"/>
      <c r="M15" s="10"/>
      <c r="N15" s="8"/>
      <c r="O15" s="8"/>
    </row>
    <row r="16" spans="1:15" s="11" customFormat="1" ht="18">
      <c r="A16" s="14">
        <v>6</v>
      </c>
      <c r="B16" s="155" t="s">
        <v>9</v>
      </c>
      <c r="C16" s="157"/>
      <c r="D16" s="27"/>
      <c r="E16" s="8"/>
      <c r="F16" s="8"/>
      <c r="G16" s="8"/>
      <c r="H16" s="9"/>
      <c r="I16" s="8"/>
      <c r="J16" s="8"/>
      <c r="K16" s="8"/>
      <c r="L16" s="8"/>
      <c r="M16" s="10"/>
      <c r="N16" s="8"/>
      <c r="O16" s="8"/>
    </row>
    <row r="17" spans="1:15" s="11" customFormat="1" ht="18">
      <c r="A17" s="14">
        <v>7</v>
      </c>
      <c r="B17" s="155" t="s">
        <v>9</v>
      </c>
      <c r="C17" s="157"/>
      <c r="D17" s="27"/>
      <c r="E17" s="8"/>
      <c r="F17" s="8"/>
      <c r="G17" s="8"/>
      <c r="H17" s="9"/>
      <c r="I17" s="8"/>
      <c r="J17" s="8"/>
      <c r="K17" s="8"/>
      <c r="L17" s="8"/>
      <c r="M17" s="10"/>
      <c r="N17" s="8"/>
      <c r="O17" s="8"/>
    </row>
    <row r="18" spans="1:15" s="11" customFormat="1" ht="18">
      <c r="A18" s="14">
        <v>8</v>
      </c>
      <c r="B18" s="155" t="s">
        <v>9</v>
      </c>
      <c r="C18" s="157"/>
      <c r="D18" s="27"/>
      <c r="E18" s="8"/>
      <c r="F18" s="8"/>
      <c r="G18" s="8"/>
      <c r="H18" s="9"/>
      <c r="I18" s="8"/>
      <c r="J18" s="8"/>
      <c r="K18" s="8"/>
      <c r="L18" s="8"/>
      <c r="M18" s="10"/>
      <c r="N18" s="8"/>
      <c r="O18" s="8"/>
    </row>
    <row r="19" spans="1:4" s="115" customFormat="1" ht="18">
      <c r="A19" s="112" t="s">
        <v>112</v>
      </c>
      <c r="B19" s="113"/>
      <c r="C19" s="114"/>
      <c r="D19" s="114"/>
    </row>
    <row r="20" spans="1:4" s="115" customFormat="1" ht="18" thickBot="1">
      <c r="A20" s="116" t="s">
        <v>113</v>
      </c>
      <c r="B20" s="113"/>
      <c r="C20" s="114"/>
      <c r="D20" s="114"/>
    </row>
    <row r="21" spans="2:9" ht="18" thickBot="1">
      <c r="B21" s="130" t="s">
        <v>118</v>
      </c>
      <c r="C21" s="118"/>
      <c r="D21" s="118"/>
      <c r="E21" s="118"/>
      <c r="F21" s="118"/>
      <c r="G21" s="118"/>
      <c r="H21" s="119"/>
      <c r="I21" s="120"/>
    </row>
    <row r="22" spans="1:9" ht="18">
      <c r="A22" s="16"/>
      <c r="B22" s="17"/>
      <c r="C22" s="172" t="s">
        <v>47</v>
      </c>
      <c r="D22" s="171"/>
      <c r="E22" s="172" t="s">
        <v>77</v>
      </c>
      <c r="F22" s="171"/>
      <c r="G22" s="171"/>
      <c r="H22" s="45" t="s">
        <v>98</v>
      </c>
      <c r="I22" s="45" t="s">
        <v>94</v>
      </c>
    </row>
    <row r="23" spans="1:9" ht="18">
      <c r="A23" s="16"/>
      <c r="C23" s="45" t="s">
        <v>35</v>
      </c>
      <c r="D23" s="45" t="s">
        <v>33</v>
      </c>
      <c r="E23" s="45" t="s">
        <v>96</v>
      </c>
      <c r="F23" s="45" t="s">
        <v>97</v>
      </c>
      <c r="G23" s="45" t="s">
        <v>34</v>
      </c>
      <c r="I23" s="40"/>
    </row>
    <row r="24" spans="1:9" ht="18">
      <c r="A24" s="16"/>
      <c r="B24" s="63" t="s">
        <v>92</v>
      </c>
      <c r="C24" s="97">
        <f>SUM(Data!AC24:AC35)</f>
        <v>2951.34961582118</v>
      </c>
      <c r="D24" s="46">
        <f>SUM(Data!AA24:AA35)</f>
        <v>29513.496158211794</v>
      </c>
      <c r="E24" s="97">
        <f>Data!I35+Data!J35</f>
        <v>631.2</v>
      </c>
      <c r="F24" s="97">
        <f>Data!K35</f>
        <v>140</v>
      </c>
      <c r="G24" s="97">
        <f>E24+F24</f>
        <v>771.2</v>
      </c>
      <c r="H24" s="97">
        <f>C24+G24</f>
        <v>3722.54961582118</v>
      </c>
      <c r="I24" s="48">
        <f>Data!L35</f>
        <v>4.938271604938272</v>
      </c>
    </row>
    <row r="25" spans="1:9" ht="18" thickBot="1">
      <c r="A25" s="16"/>
      <c r="B25" s="63" t="s">
        <v>93</v>
      </c>
      <c r="C25" s="97">
        <f>SUM('[4]Data'!$AC$24:$AC$35)</f>
        <v>424.6731581420641</v>
      </c>
      <c r="D25" s="46">
        <f>SUM('[4]Data'!$AA$24:$AA$35)</f>
        <v>4246.731581420641</v>
      </c>
      <c r="E25" s="97">
        <f>'[4]Data'!$I$35+'[4]Data'!$J$35</f>
        <v>1860</v>
      </c>
      <c r="F25" s="97">
        <f>'[4]Data'!$K$35</f>
        <v>100</v>
      </c>
      <c r="G25" s="97">
        <f>E25+F25</f>
        <v>1960</v>
      </c>
      <c r="H25" s="97">
        <f>C25+G25</f>
        <v>2384.673158142064</v>
      </c>
      <c r="I25" s="48">
        <f>'[4]Data'!$L$35</f>
        <v>4.444444444444445</v>
      </c>
    </row>
    <row r="26" spans="1:9" ht="18" thickBot="1">
      <c r="A26" s="16"/>
      <c r="B26" s="126" t="s">
        <v>95</v>
      </c>
      <c r="C26" s="127">
        <f aca="true" t="shared" si="0" ref="C26:I26">C24-C25</f>
        <v>2526.676457679116</v>
      </c>
      <c r="D26" s="128">
        <f t="shared" si="0"/>
        <v>25266.764576791153</v>
      </c>
      <c r="E26" s="127">
        <f t="shared" si="0"/>
        <v>-1228.8</v>
      </c>
      <c r="F26" s="127">
        <f t="shared" si="0"/>
        <v>40</v>
      </c>
      <c r="G26" s="127">
        <f t="shared" si="0"/>
        <v>-1188.8</v>
      </c>
      <c r="H26" s="127">
        <f t="shared" si="0"/>
        <v>1337.876457679116</v>
      </c>
      <c r="I26" s="129">
        <f t="shared" si="0"/>
        <v>0.4938271604938276</v>
      </c>
    </row>
    <row r="27" spans="1:9" ht="18" thickBot="1">
      <c r="A27" s="16"/>
      <c r="B27" s="63"/>
      <c r="C27" s="97"/>
      <c r="D27" s="46"/>
      <c r="E27" s="97"/>
      <c r="F27" s="97"/>
      <c r="G27" s="97"/>
      <c r="H27" s="97"/>
      <c r="I27" s="48"/>
    </row>
    <row r="28" spans="2:9" ht="18" thickBot="1">
      <c r="B28" s="130" t="s">
        <v>99</v>
      </c>
      <c r="C28" s="123"/>
      <c r="D28" s="123"/>
      <c r="E28" s="123"/>
      <c r="F28" s="123"/>
      <c r="G28" s="123"/>
      <c r="H28" s="131"/>
      <c r="I28" s="124"/>
    </row>
    <row r="29" spans="1:9" ht="18">
      <c r="A29" s="16"/>
      <c r="B29" s="17"/>
      <c r="C29" s="172" t="s">
        <v>47</v>
      </c>
      <c r="D29" s="171"/>
      <c r="E29" s="172" t="s">
        <v>77</v>
      </c>
      <c r="F29" s="171"/>
      <c r="G29" s="171"/>
      <c r="H29" s="45" t="s">
        <v>98</v>
      </c>
      <c r="I29" s="45" t="s">
        <v>94</v>
      </c>
    </row>
    <row r="30" spans="1:9" ht="18">
      <c r="A30" s="16"/>
      <c r="C30" s="45" t="s">
        <v>35</v>
      </c>
      <c r="D30" s="45" t="s">
        <v>33</v>
      </c>
      <c r="E30" s="45" t="s">
        <v>96</v>
      </c>
      <c r="F30" s="45" t="s">
        <v>97</v>
      </c>
      <c r="G30" s="45" t="s">
        <v>34</v>
      </c>
      <c r="I30" s="40"/>
    </row>
    <row r="31" spans="1:9" ht="18">
      <c r="A31" s="16"/>
      <c r="B31" s="63" t="s">
        <v>92</v>
      </c>
      <c r="C31" s="97">
        <f>Data!AC72</f>
        <v>16389.63598739318</v>
      </c>
      <c r="D31" s="46">
        <f>Data!AA72</f>
        <v>163896.35987393177</v>
      </c>
      <c r="E31" s="97">
        <f>Data!I71+Data!J71</f>
        <v>1262.4</v>
      </c>
      <c r="F31" s="97">
        <f>Data!K71</f>
        <v>280</v>
      </c>
      <c r="G31" s="97">
        <f>E31+F31</f>
        <v>1542.4</v>
      </c>
      <c r="H31" s="97">
        <f>C31+G31</f>
        <v>17932.03598739318</v>
      </c>
      <c r="I31" s="48">
        <f>Data!L71</f>
        <v>9.876543209876544</v>
      </c>
    </row>
    <row r="32" spans="1:9" ht="18" thickBot="1">
      <c r="A32" s="16"/>
      <c r="B32" s="63" t="s">
        <v>93</v>
      </c>
      <c r="C32" s="97">
        <f>'[4]Data'!$AC$72</f>
        <v>148.66227506267245</v>
      </c>
      <c r="D32" s="46">
        <f>'[4]Data'!$AA$72</f>
        <v>1486.6227506267244</v>
      </c>
      <c r="E32" s="97">
        <f>'[4]Data'!$I$71+'[4]Data'!$J$71</f>
        <v>1860</v>
      </c>
      <c r="F32" s="97">
        <f>'[4]Data'!$K$71</f>
        <v>100</v>
      </c>
      <c r="G32" s="97">
        <f>E32+F32</f>
        <v>1960</v>
      </c>
      <c r="H32" s="97">
        <f>C32+G32</f>
        <v>2108.6622750626725</v>
      </c>
      <c r="I32" s="48">
        <f>'[4]Data'!$L$71</f>
        <v>4.444444444444445</v>
      </c>
    </row>
    <row r="33" spans="1:9" ht="18" thickBot="1">
      <c r="A33" s="16"/>
      <c r="B33" s="126" t="s">
        <v>95</v>
      </c>
      <c r="C33" s="127">
        <f>C31-C32</f>
        <v>16240.973712330508</v>
      </c>
      <c r="D33" s="128">
        <f aca="true" t="shared" si="1" ref="D33:I33">D31-D32</f>
        <v>162409.73712330504</v>
      </c>
      <c r="E33" s="127">
        <f t="shared" si="1"/>
        <v>-597.5999999999999</v>
      </c>
      <c r="F33" s="127">
        <f t="shared" si="1"/>
        <v>180</v>
      </c>
      <c r="G33" s="127">
        <f t="shared" si="1"/>
        <v>-417.5999999999999</v>
      </c>
      <c r="H33" s="127">
        <f t="shared" si="1"/>
        <v>15823.373712330509</v>
      </c>
      <c r="I33" s="129">
        <f t="shared" si="1"/>
        <v>5.4320987654321</v>
      </c>
    </row>
    <row r="34" spans="1:9" ht="18">
      <c r="A34" s="16"/>
      <c r="B34" s="63"/>
      <c r="C34" s="97"/>
      <c r="D34" s="46"/>
      <c r="E34" s="97"/>
      <c r="F34" s="97"/>
      <c r="G34" s="97"/>
      <c r="H34" s="97"/>
      <c r="I34" s="48"/>
    </row>
    <row r="35" spans="1:4" s="115" customFormat="1" ht="18">
      <c r="A35" s="112" t="s">
        <v>114</v>
      </c>
      <c r="B35" s="113"/>
      <c r="C35" s="114"/>
      <c r="D35" s="114"/>
    </row>
    <row r="36" spans="1:4" s="115" customFormat="1" ht="18">
      <c r="A36" s="116" t="s">
        <v>115</v>
      </c>
      <c r="B36" s="113"/>
      <c r="C36" s="114"/>
      <c r="D36" s="114"/>
    </row>
    <row r="37" spans="1:2" ht="18">
      <c r="A37" s="16"/>
      <c r="B37" s="17"/>
    </row>
    <row r="38" spans="1:4" ht="18">
      <c r="A38" s="16"/>
      <c r="B38" s="108" t="s">
        <v>104</v>
      </c>
      <c r="C38" s="109">
        <f>C26</f>
        <v>2526.676457679116</v>
      </c>
      <c r="D38" s="1" t="str">
        <f>"("&amp;TEXT(D26,"#,###")&amp;" kWh)"</f>
        <v>(25,267 kWh)</v>
      </c>
    </row>
    <row r="39" spans="1:4" ht="18" thickBot="1">
      <c r="A39" s="16"/>
      <c r="B39" s="108" t="s">
        <v>101</v>
      </c>
      <c r="C39" s="109">
        <f>-E26</f>
        <v>1228.8</v>
      </c>
      <c r="D39" s="62" t="s">
        <v>106</v>
      </c>
    </row>
    <row r="40" spans="1:5" ht="18" thickBot="1">
      <c r="A40" s="16"/>
      <c r="B40" s="121" t="s">
        <v>100</v>
      </c>
      <c r="C40" s="122">
        <f>C39/C38*12</f>
        <v>5.835966831125106</v>
      </c>
      <c r="D40" s="123" t="s">
        <v>122</v>
      </c>
      <c r="E40" s="124"/>
    </row>
    <row r="41" spans="1:4" ht="18">
      <c r="A41" s="16"/>
      <c r="B41" s="108"/>
      <c r="C41" s="19"/>
      <c r="D41" s="62"/>
    </row>
    <row r="42" spans="1:4" ht="18">
      <c r="A42" s="16"/>
      <c r="B42" s="108" t="s">
        <v>105</v>
      </c>
      <c r="C42" s="109">
        <f>C26+F26</f>
        <v>2566.676457679116</v>
      </c>
      <c r="D42" s="1" t="str">
        <f>"("&amp;TEXT(D26,"#,###")&amp;" kWh plus $"&amp;TEXT(F26,"#,###")&amp;" in filter installation labor)"</f>
        <v>(25,267 kWh plus $40 in filter installation labor)</v>
      </c>
    </row>
    <row r="43" spans="1:4" ht="18" thickBot="1">
      <c r="A43" s="16"/>
      <c r="B43" s="108" t="s">
        <v>101</v>
      </c>
      <c r="C43" s="109">
        <f>-E26</f>
        <v>1228.8</v>
      </c>
      <c r="D43" s="62" t="s">
        <v>106</v>
      </c>
    </row>
    <row r="44" spans="1:5" ht="18" thickBot="1">
      <c r="A44" s="20"/>
      <c r="B44" s="121" t="s">
        <v>100</v>
      </c>
      <c r="C44" s="122">
        <f>C43/C42*12</f>
        <v>5.745017045636331</v>
      </c>
      <c r="D44" s="123" t="s">
        <v>136</v>
      </c>
      <c r="E44" s="124"/>
    </row>
    <row r="45" spans="2:3" ht="18">
      <c r="B45" s="17"/>
      <c r="C45" s="18"/>
    </row>
    <row r="46" spans="1:4" s="115" customFormat="1" ht="18">
      <c r="A46" s="116" t="s">
        <v>116</v>
      </c>
      <c r="B46" s="113"/>
      <c r="C46" s="114"/>
      <c r="D46" s="114"/>
    </row>
    <row r="47" spans="1:3" ht="18">
      <c r="A47" s="16"/>
      <c r="B47" s="17"/>
      <c r="C47" s="18"/>
    </row>
    <row r="48" spans="1:4" ht="18">
      <c r="A48" s="16"/>
      <c r="B48" s="108" t="s">
        <v>103</v>
      </c>
      <c r="C48" s="109">
        <f>C33</f>
        <v>16240.973712330508</v>
      </c>
      <c r="D48" s="1" t="str">
        <f>"( "&amp;TEXT(D33,"#,###")&amp;" kWh)"</f>
        <v>( 162,410 kWh)</v>
      </c>
    </row>
    <row r="49" spans="1:4" ht="18">
      <c r="A49" s="16"/>
      <c r="B49" s="108" t="s">
        <v>102</v>
      </c>
      <c r="C49" s="109">
        <f>-E33</f>
        <v>597.5999999999999</v>
      </c>
      <c r="D49" s="62" t="s">
        <v>106</v>
      </c>
    </row>
    <row r="50" spans="1:4" ht="18" thickBot="1">
      <c r="A50" s="16"/>
      <c r="B50" s="108" t="s">
        <v>100</v>
      </c>
      <c r="C50" s="117">
        <f>C49/C48</f>
        <v>0.03679582336533731</v>
      </c>
      <c r="D50" s="62" t="s">
        <v>121</v>
      </c>
    </row>
    <row r="51" spans="1:5" ht="18" thickBot="1">
      <c r="A51" s="16"/>
      <c r="B51" s="121" t="s">
        <v>100</v>
      </c>
      <c r="C51" s="125">
        <f>C50*48</f>
        <v>1.7661995215361908</v>
      </c>
      <c r="D51" s="123" t="s">
        <v>122</v>
      </c>
      <c r="E51" s="124"/>
    </row>
    <row r="52" spans="1:4" ht="18">
      <c r="A52" s="16"/>
      <c r="B52" s="108"/>
      <c r="C52" s="110"/>
      <c r="D52" s="62"/>
    </row>
    <row r="53" spans="1:4" ht="18">
      <c r="A53" s="21"/>
      <c r="B53" s="108" t="s">
        <v>117</v>
      </c>
      <c r="C53" s="109">
        <f>C33+F33</f>
        <v>16420.97371233051</v>
      </c>
      <c r="D53" s="1" t="str">
        <f>"("&amp;TEXT(D33,"#,###")&amp;" kWh plus $"&amp;TEXT(F33,"#,###")&amp;" in filter installation labor)"</f>
        <v>(162,410 kWh plus $180 in filter installation labor)</v>
      </c>
    </row>
    <row r="54" spans="2:4" ht="18">
      <c r="B54" s="108" t="s">
        <v>102</v>
      </c>
      <c r="C54" s="109">
        <f>-E33</f>
        <v>597.5999999999999</v>
      </c>
      <c r="D54" s="62" t="s">
        <v>106</v>
      </c>
    </row>
    <row r="55" spans="1:4" ht="18" thickBot="1">
      <c r="A55" s="16"/>
      <c r="B55" s="108" t="s">
        <v>100</v>
      </c>
      <c r="C55" s="117">
        <f>C54/C53</f>
        <v>0.03639248259384655</v>
      </c>
      <c r="D55" s="62" t="s">
        <v>121</v>
      </c>
    </row>
    <row r="56" spans="1:5" ht="18" thickBot="1">
      <c r="A56" s="16"/>
      <c r="B56" s="121" t="s">
        <v>100</v>
      </c>
      <c r="C56" s="125">
        <f>C55*48</f>
        <v>1.7468391645046344</v>
      </c>
      <c r="D56" s="123" t="s">
        <v>136</v>
      </c>
      <c r="E56" s="124"/>
    </row>
    <row r="57" spans="1:3" ht="18">
      <c r="A57" s="16"/>
      <c r="B57" s="22"/>
      <c r="C57" s="23"/>
    </row>
    <row r="58" spans="1:3" ht="18">
      <c r="A58" s="16"/>
      <c r="B58" s="24"/>
      <c r="C58" s="23"/>
    </row>
    <row r="59" spans="1:4" s="115" customFormat="1" ht="18">
      <c r="A59" s="112" t="s">
        <v>123</v>
      </c>
      <c r="B59" s="113"/>
      <c r="C59" s="114"/>
      <c r="D59" s="114"/>
    </row>
    <row r="60" spans="1:3" ht="18">
      <c r="A60" s="16"/>
      <c r="C60" s="23"/>
    </row>
    <row r="61" spans="1:15" ht="24.75" customHeight="1" thickBot="1">
      <c r="A61" s="16"/>
      <c r="C61" s="23"/>
      <c r="J61" s="191" t="str">
        <f>B21</f>
        <v>Savings Summary - First Year Basis</v>
      </c>
      <c r="K61" s="192"/>
      <c r="L61" s="192"/>
      <c r="M61" s="192"/>
      <c r="N61" s="192"/>
      <c r="O61" s="192"/>
    </row>
    <row r="62" spans="10:15" ht="18" thickBot="1">
      <c r="J62" s="139"/>
      <c r="K62" s="196" t="s">
        <v>124</v>
      </c>
      <c r="L62" s="197"/>
      <c r="M62" s="141" t="s">
        <v>96</v>
      </c>
      <c r="N62" s="141" t="s">
        <v>34</v>
      </c>
      <c r="O62" s="142" t="s">
        <v>94</v>
      </c>
    </row>
    <row r="63" spans="10:15" ht="18">
      <c r="J63" s="140"/>
      <c r="K63" s="143" t="s">
        <v>33</v>
      </c>
      <c r="L63" s="144" t="s">
        <v>35</v>
      </c>
      <c r="M63" s="144" t="s">
        <v>35</v>
      </c>
      <c r="N63" s="144" t="s">
        <v>35</v>
      </c>
      <c r="O63" s="145" t="s">
        <v>125</v>
      </c>
    </row>
    <row r="64" spans="10:15" ht="18">
      <c r="J64" s="134" t="str">
        <f>B24</f>
        <v>Existing Approach</v>
      </c>
      <c r="K64" s="135">
        <f>D24</f>
        <v>29513.496158211794</v>
      </c>
      <c r="L64" s="136">
        <f>C24</f>
        <v>2951.34961582118</v>
      </c>
      <c r="M64" s="136">
        <f>E24</f>
        <v>631.2</v>
      </c>
      <c r="N64" s="136">
        <f>L64+M64</f>
        <v>3582.54961582118</v>
      </c>
      <c r="O64" s="137">
        <f>I24</f>
        <v>4.938271604938272</v>
      </c>
    </row>
    <row r="65" spans="10:15" ht="18">
      <c r="J65" s="146" t="str">
        <f>B25</f>
        <v>Proposed Approach</v>
      </c>
      <c r="K65" s="147">
        <f>D25</f>
        <v>4246.731581420641</v>
      </c>
      <c r="L65" s="148">
        <f>C25</f>
        <v>424.6731581420641</v>
      </c>
      <c r="M65" s="148">
        <f>E25</f>
        <v>1860</v>
      </c>
      <c r="N65" s="148">
        <f>L65+M65</f>
        <v>2284.673158142064</v>
      </c>
      <c r="O65" s="149">
        <f>I25</f>
        <v>4.444444444444445</v>
      </c>
    </row>
    <row r="66" spans="10:15" ht="18">
      <c r="J66" s="134" t="s">
        <v>95</v>
      </c>
      <c r="K66" s="133">
        <f>K64-K65</f>
        <v>25266.764576791153</v>
      </c>
      <c r="L66" s="132">
        <f>L64-L65</f>
        <v>2526.676457679116</v>
      </c>
      <c r="M66" s="132">
        <f>M64-M65</f>
        <v>-1228.8</v>
      </c>
      <c r="N66" s="132">
        <f>N64-N65</f>
        <v>1297.876457679116</v>
      </c>
      <c r="O66" s="138">
        <f>O64-O65</f>
        <v>0.4938271604938276</v>
      </c>
    </row>
    <row r="67" spans="10:15" ht="18">
      <c r="J67" s="150" t="s">
        <v>126</v>
      </c>
      <c r="K67" s="151">
        <f>M66/-L66</f>
        <v>0.4863305692604255</v>
      </c>
      <c r="L67" s="193" t="s">
        <v>127</v>
      </c>
      <c r="M67" s="194"/>
      <c r="N67" s="194"/>
      <c r="O67" s="195"/>
    </row>
    <row r="68" spans="1:15" ht="24.75" customHeight="1" thickBot="1">
      <c r="A68" s="16"/>
      <c r="C68" s="23"/>
      <c r="J68" s="191" t="str">
        <f>B28</f>
        <v>Savings Summary - 48 Month Cycle Basis</v>
      </c>
      <c r="K68" s="192"/>
      <c r="L68" s="192"/>
      <c r="M68" s="192"/>
      <c r="N68" s="192"/>
      <c r="O68" s="192"/>
    </row>
    <row r="69" spans="10:15" ht="18" thickBot="1">
      <c r="J69" s="139"/>
      <c r="K69" s="196" t="s">
        <v>124</v>
      </c>
      <c r="L69" s="197"/>
      <c r="M69" s="141" t="s">
        <v>96</v>
      </c>
      <c r="N69" s="141" t="s">
        <v>34</v>
      </c>
      <c r="O69" s="142" t="s">
        <v>94</v>
      </c>
    </row>
    <row r="70" spans="10:15" ht="18">
      <c r="J70" s="140"/>
      <c r="K70" s="143" t="s">
        <v>33</v>
      </c>
      <c r="L70" s="144" t="s">
        <v>35</v>
      </c>
      <c r="M70" s="144" t="s">
        <v>35</v>
      </c>
      <c r="N70" s="144" t="s">
        <v>35</v>
      </c>
      <c r="O70" s="145" t="s">
        <v>125</v>
      </c>
    </row>
    <row r="71" spans="10:15" ht="18">
      <c r="J71" s="134" t="str">
        <f>B31</f>
        <v>Existing Approach</v>
      </c>
      <c r="K71" s="135">
        <f>D31</f>
        <v>163896.35987393177</v>
      </c>
      <c r="L71" s="136">
        <f>C31</f>
        <v>16389.63598739318</v>
      </c>
      <c r="M71" s="136">
        <f>E31</f>
        <v>1262.4</v>
      </c>
      <c r="N71" s="136">
        <f>L71+M71</f>
        <v>17652.03598739318</v>
      </c>
      <c r="O71" s="137">
        <f>I31</f>
        <v>9.876543209876544</v>
      </c>
    </row>
    <row r="72" spans="10:15" ht="18">
      <c r="J72" s="146" t="str">
        <f>B32</f>
        <v>Proposed Approach</v>
      </c>
      <c r="K72" s="147">
        <f>D32</f>
        <v>1486.6227506267244</v>
      </c>
      <c r="L72" s="148">
        <f>C32</f>
        <v>148.66227506267245</v>
      </c>
      <c r="M72" s="148">
        <f>E32</f>
        <v>1860</v>
      </c>
      <c r="N72" s="148">
        <f>L72+M72</f>
        <v>2008.6622750626725</v>
      </c>
      <c r="O72" s="149">
        <f>I32</f>
        <v>4.444444444444445</v>
      </c>
    </row>
    <row r="73" spans="10:15" ht="18">
      <c r="J73" s="134" t="s">
        <v>95</v>
      </c>
      <c r="K73" s="133">
        <f>K71-K72</f>
        <v>162409.73712330504</v>
      </c>
      <c r="L73" s="132">
        <f>L71-L72</f>
        <v>16240.973712330508</v>
      </c>
      <c r="M73" s="132">
        <f>M71-M72</f>
        <v>-597.5999999999999</v>
      </c>
      <c r="N73" s="132">
        <f>N71-N72</f>
        <v>15643.373712330509</v>
      </c>
      <c r="O73" s="138">
        <f>O71-O72</f>
        <v>5.4320987654321</v>
      </c>
    </row>
    <row r="74" spans="10:15" ht="18">
      <c r="J74" s="150" t="s">
        <v>126</v>
      </c>
      <c r="K74" s="151">
        <f>(M73/-L73)*48</f>
        <v>1.7661995215361908</v>
      </c>
      <c r="L74" s="193" t="s">
        <v>128</v>
      </c>
      <c r="M74" s="194"/>
      <c r="N74" s="194"/>
      <c r="O74" s="195"/>
    </row>
    <row r="77" spans="1:15" ht="24.75" customHeight="1" thickBot="1">
      <c r="A77" s="16"/>
      <c r="C77" s="23"/>
      <c r="J77" s="191" t="str">
        <f>J61</f>
        <v>Savings Summary - First Year Basis</v>
      </c>
      <c r="K77" s="192"/>
      <c r="L77" s="192"/>
      <c r="M77" s="192"/>
      <c r="N77" s="192"/>
      <c r="O77" s="192"/>
    </row>
    <row r="78" spans="10:15" ht="18" thickBot="1">
      <c r="J78" s="139"/>
      <c r="K78" s="196" t="s">
        <v>124</v>
      </c>
      <c r="L78" s="197"/>
      <c r="M78" s="141" t="s">
        <v>96</v>
      </c>
      <c r="N78" s="141" t="s">
        <v>34</v>
      </c>
      <c r="O78" s="142" t="s">
        <v>94</v>
      </c>
    </row>
    <row r="79" spans="10:15" ht="18">
      <c r="J79" s="140"/>
      <c r="K79" s="143" t="s">
        <v>33</v>
      </c>
      <c r="L79" s="144" t="s">
        <v>35</v>
      </c>
      <c r="M79" s="144" t="s">
        <v>35</v>
      </c>
      <c r="N79" s="144" t="s">
        <v>35</v>
      </c>
      <c r="O79" s="145" t="s">
        <v>129</v>
      </c>
    </row>
    <row r="80" spans="10:15" ht="18">
      <c r="J80" s="134" t="str">
        <f aca="true" t="shared" si="2" ref="J80:O82">J64</f>
        <v>Existing Approach</v>
      </c>
      <c r="K80" s="135">
        <f t="shared" si="2"/>
        <v>29513.496158211794</v>
      </c>
      <c r="L80" s="136">
        <f t="shared" si="2"/>
        <v>2951.34961582118</v>
      </c>
      <c r="M80" s="136">
        <f t="shared" si="2"/>
        <v>631.2</v>
      </c>
      <c r="N80" s="136">
        <f t="shared" si="2"/>
        <v>3582.54961582118</v>
      </c>
      <c r="O80" s="137">
        <f t="shared" si="2"/>
        <v>4.938271604938272</v>
      </c>
    </row>
    <row r="81" spans="10:15" ht="18">
      <c r="J81" s="146" t="str">
        <f t="shared" si="2"/>
        <v>Proposed Approach</v>
      </c>
      <c r="K81" s="147">
        <f t="shared" si="2"/>
        <v>4246.731581420641</v>
      </c>
      <c r="L81" s="148">
        <f t="shared" si="2"/>
        <v>424.6731581420641</v>
      </c>
      <c r="M81" s="148">
        <f t="shared" si="2"/>
        <v>1860</v>
      </c>
      <c r="N81" s="148">
        <f t="shared" si="2"/>
        <v>2284.673158142064</v>
      </c>
      <c r="O81" s="149">
        <f t="shared" si="2"/>
        <v>4.444444444444445</v>
      </c>
    </row>
    <row r="82" spans="10:15" ht="18">
      <c r="J82" s="134" t="str">
        <f t="shared" si="2"/>
        <v>Savings</v>
      </c>
      <c r="K82" s="133">
        <f t="shared" si="2"/>
        <v>25266.764576791153</v>
      </c>
      <c r="L82" s="132">
        <f t="shared" si="2"/>
        <v>2526.676457679116</v>
      </c>
      <c r="M82" s="132">
        <f t="shared" si="2"/>
        <v>-1228.8</v>
      </c>
      <c r="N82" s="132">
        <f t="shared" si="2"/>
        <v>1297.876457679116</v>
      </c>
      <c r="O82" s="138">
        <f t="shared" si="2"/>
        <v>0.4938271604938276</v>
      </c>
    </row>
    <row r="83" spans="10:15" ht="18">
      <c r="J83" s="150" t="str">
        <f aca="true" t="shared" si="3" ref="J83:O83">J67</f>
        <v>Simple Payback</v>
      </c>
      <c r="K83" s="151">
        <f t="shared" si="3"/>
        <v>0.4863305692604255</v>
      </c>
      <c r="L83" s="193" t="str">
        <f t="shared" si="3"/>
        <v>years (energy only)</v>
      </c>
      <c r="M83" s="194">
        <f t="shared" si="3"/>
        <v>0</v>
      </c>
      <c r="N83" s="194">
        <f t="shared" si="3"/>
        <v>0</v>
      </c>
      <c r="O83" s="195">
        <f t="shared" si="3"/>
        <v>0</v>
      </c>
    </row>
    <row r="84" spans="1:15" ht="24.75" customHeight="1">
      <c r="A84" s="16"/>
      <c r="C84" s="23"/>
      <c r="J84" s="191" t="str">
        <f aca="true" t="shared" si="4" ref="J84:O84">J68</f>
        <v>Savings Summary - 48 Month Cycle Basis</v>
      </c>
      <c r="K84" s="192">
        <f t="shared" si="4"/>
        <v>0</v>
      </c>
      <c r="L84" s="192">
        <f t="shared" si="4"/>
        <v>0</v>
      </c>
      <c r="M84" s="192">
        <f t="shared" si="4"/>
        <v>0</v>
      </c>
      <c r="N84" s="192">
        <f t="shared" si="4"/>
        <v>0</v>
      </c>
      <c r="O84" s="192">
        <f t="shared" si="4"/>
        <v>0</v>
      </c>
    </row>
    <row r="85" spans="10:15" ht="18">
      <c r="J85" s="134" t="str">
        <f aca="true" t="shared" si="5" ref="J85:O86">J71</f>
        <v>Existing Approach</v>
      </c>
      <c r="K85" s="135">
        <f t="shared" si="5"/>
        <v>163896.35987393177</v>
      </c>
      <c r="L85" s="136">
        <f t="shared" si="5"/>
        <v>16389.63598739318</v>
      </c>
      <c r="M85" s="136">
        <f t="shared" si="5"/>
        <v>1262.4</v>
      </c>
      <c r="N85" s="136">
        <f t="shared" si="5"/>
        <v>17652.03598739318</v>
      </c>
      <c r="O85" s="137">
        <f t="shared" si="5"/>
        <v>9.876543209876544</v>
      </c>
    </row>
    <row r="86" spans="10:15" ht="18">
      <c r="J86" s="146" t="str">
        <f t="shared" si="5"/>
        <v>Proposed Approach</v>
      </c>
      <c r="K86" s="147">
        <f t="shared" si="5"/>
        <v>1486.6227506267244</v>
      </c>
      <c r="L86" s="148">
        <f t="shared" si="5"/>
        <v>148.66227506267245</v>
      </c>
      <c r="M86" s="148">
        <f t="shared" si="5"/>
        <v>1860</v>
      </c>
      <c r="N86" s="148">
        <f t="shared" si="5"/>
        <v>2008.6622750626725</v>
      </c>
      <c r="O86" s="149">
        <f t="shared" si="5"/>
        <v>4.444444444444445</v>
      </c>
    </row>
    <row r="87" spans="10:15" ht="18">
      <c r="J87" s="134" t="str">
        <f aca="true" t="shared" si="6" ref="J87:O87">J73</f>
        <v>Savings</v>
      </c>
      <c r="K87" s="133">
        <f t="shared" si="6"/>
        <v>162409.73712330504</v>
      </c>
      <c r="L87" s="132">
        <f t="shared" si="6"/>
        <v>16240.973712330508</v>
      </c>
      <c r="M87" s="132">
        <f t="shared" si="6"/>
        <v>-597.5999999999999</v>
      </c>
      <c r="N87" s="132">
        <f t="shared" si="6"/>
        <v>15643.373712330509</v>
      </c>
      <c r="O87" s="138">
        <f t="shared" si="6"/>
        <v>5.4320987654321</v>
      </c>
    </row>
    <row r="88" spans="10:15" ht="18">
      <c r="J88" s="150" t="str">
        <f aca="true" t="shared" si="7" ref="J88:O88">J74</f>
        <v>Simple Payback</v>
      </c>
      <c r="K88" s="151">
        <f t="shared" si="7"/>
        <v>1.7661995215361908</v>
      </c>
      <c r="L88" s="193" t="str">
        <f t="shared" si="7"/>
        <v>months (energy only)</v>
      </c>
      <c r="M88" s="194">
        <f t="shared" si="7"/>
        <v>0</v>
      </c>
      <c r="N88" s="194">
        <f t="shared" si="7"/>
        <v>0</v>
      </c>
      <c r="O88" s="195">
        <f t="shared" si="7"/>
        <v>0</v>
      </c>
    </row>
  </sheetData>
  <sheetProtection/>
  <mergeCells count="15">
    <mergeCell ref="C29:D29"/>
    <mergeCell ref="E29:G29"/>
    <mergeCell ref="C22:D22"/>
    <mergeCell ref="E22:G22"/>
    <mergeCell ref="K62:L62"/>
    <mergeCell ref="K69:L69"/>
    <mergeCell ref="J61:O61"/>
    <mergeCell ref="L67:O67"/>
    <mergeCell ref="J68:O68"/>
    <mergeCell ref="J84:O84"/>
    <mergeCell ref="L88:O88"/>
    <mergeCell ref="L74:O74"/>
    <mergeCell ref="J77:O77"/>
    <mergeCell ref="K78:L78"/>
    <mergeCell ref="L83:O83"/>
  </mergeCells>
  <printOptions/>
  <pageMargins left="0.75" right="0.75" top="1" bottom="1" header="0.5" footer="0.5"/>
  <pageSetup horizontalDpi="600" verticalDpi="600" orientation="landscape" scale="61" r:id="rId2"/>
  <headerFooter alignWithMargins="0">
    <oddFooter>&amp;LPage &amp;P of &amp;N of Sheet &amp;A of File &amp;F
Printed on &amp;D at &amp;T
DAS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88"/>
  <sheetViews>
    <sheetView defaultGridColor="0" zoomScalePageLayoutView="0" colorId="22" workbookViewId="0" topLeftCell="A9">
      <selection activeCell="A10" sqref="A10:IV17"/>
    </sheetView>
  </sheetViews>
  <sheetFormatPr defaultColWidth="11" defaultRowHeight="19.5"/>
  <cols>
    <col min="1" max="1" width="15.69921875" style="1" customWidth="1"/>
    <col min="2" max="2" width="25.69921875" style="2" customWidth="1"/>
    <col min="3" max="3" width="11.69921875" style="1" customWidth="1"/>
    <col min="4" max="4" width="9.69921875" style="1" customWidth="1"/>
    <col min="5" max="5" width="11" style="1" customWidth="1"/>
    <col min="6" max="7" width="11.69921875" style="1" customWidth="1"/>
    <col min="8" max="8" width="11.69921875" style="40" customWidth="1"/>
    <col min="9" max="9" width="13.69921875" style="1" customWidth="1"/>
    <col min="10" max="10" width="20.69921875" style="1" customWidth="1"/>
    <col min="11" max="15" width="8.69921875" style="1" customWidth="1"/>
    <col min="16" max="16" width="10.69921875" style="1" customWidth="1"/>
    <col min="17" max="18" width="15.69921875" style="1" customWidth="1"/>
    <col min="19" max="19" width="11" style="1" customWidth="1"/>
    <col min="20" max="20" width="11.69921875" style="1" customWidth="1"/>
    <col min="21" max="21" width="14.69921875" style="1" customWidth="1"/>
    <col min="22" max="16384" width="11" style="1" customWidth="1"/>
  </cols>
  <sheetData>
    <row r="1" spans="2:8" s="29" customFormat="1" ht="138.75" customHeight="1">
      <c r="B1" s="30"/>
      <c r="C1" s="31"/>
      <c r="H1" s="37"/>
    </row>
    <row r="2" spans="1:3" ht="19.5" customHeight="1">
      <c r="A2" s="4" t="s">
        <v>10</v>
      </c>
      <c r="B2" s="5"/>
      <c r="C2" s="3"/>
    </row>
    <row r="3" spans="1:3" ht="19.5" customHeight="1">
      <c r="A3" s="4" t="s">
        <v>11</v>
      </c>
      <c r="B3" s="5"/>
      <c r="C3" s="3"/>
    </row>
    <row r="4" spans="1:4" ht="18">
      <c r="A4" s="6" t="s">
        <v>0</v>
      </c>
      <c r="B4" s="26"/>
      <c r="C4" s="3"/>
      <c r="D4" s="3"/>
    </row>
    <row r="5" spans="1:15" s="11" customFormat="1" ht="18">
      <c r="A5" s="7" t="s">
        <v>5</v>
      </c>
      <c r="B5" s="32">
        <v>40030.54329861111</v>
      </c>
      <c r="C5" s="13"/>
      <c r="D5" s="13"/>
      <c r="E5" s="8"/>
      <c r="F5" s="8"/>
      <c r="G5" s="8"/>
      <c r="H5" s="9"/>
      <c r="I5" s="8"/>
      <c r="J5" s="8"/>
      <c r="K5" s="8"/>
      <c r="L5" s="8"/>
      <c r="M5" s="10"/>
      <c r="N5" s="8"/>
      <c r="O5" s="8"/>
    </row>
    <row r="6" spans="1:15" s="11" customFormat="1" ht="18">
      <c r="A6" s="7" t="s">
        <v>1</v>
      </c>
      <c r="B6" s="27" t="s">
        <v>6</v>
      </c>
      <c r="C6" s="13"/>
      <c r="D6" s="13"/>
      <c r="E6" s="8"/>
      <c r="F6" s="8"/>
      <c r="G6" s="8"/>
      <c r="H6" s="9"/>
      <c r="I6" s="8"/>
      <c r="J6" s="8"/>
      <c r="K6" s="8"/>
      <c r="L6" s="8"/>
      <c r="M6" s="10"/>
      <c r="N6" s="8"/>
      <c r="O6" s="8"/>
    </row>
    <row r="7" spans="1:15" s="11" customFormat="1" ht="49.5">
      <c r="A7" s="7" t="s">
        <v>2</v>
      </c>
      <c r="B7" s="27" t="s">
        <v>7</v>
      </c>
      <c r="C7" s="13"/>
      <c r="D7" s="13"/>
      <c r="E7" s="8"/>
      <c r="F7" s="8"/>
      <c r="G7" s="111" t="s">
        <v>111</v>
      </c>
      <c r="H7" s="9"/>
      <c r="I7" s="8"/>
      <c r="J7" s="8"/>
      <c r="K7" s="8"/>
      <c r="L7" s="8"/>
      <c r="M7" s="10"/>
      <c r="N7" s="8"/>
      <c r="O7" s="8"/>
    </row>
    <row r="8" spans="1:15" s="11" customFormat="1" ht="18">
      <c r="A8" s="7" t="s">
        <v>3</v>
      </c>
      <c r="B8" s="27" t="s">
        <v>8</v>
      </c>
      <c r="C8" s="13"/>
      <c r="D8" s="13"/>
      <c r="E8" s="8"/>
      <c r="F8" s="8"/>
      <c r="G8" s="8"/>
      <c r="H8" s="9"/>
      <c r="I8" s="8"/>
      <c r="J8" s="8"/>
      <c r="K8" s="8"/>
      <c r="L8" s="8"/>
      <c r="M8" s="10"/>
      <c r="N8" s="8"/>
      <c r="O8" s="8"/>
    </row>
    <row r="9" spans="1:15" s="11" customFormat="1" ht="18">
      <c r="A9" s="12" t="s">
        <v>4</v>
      </c>
      <c r="B9" s="13"/>
      <c r="C9" s="13"/>
      <c r="D9" s="13"/>
      <c r="E9" s="8"/>
      <c r="F9" s="8"/>
      <c r="G9" s="8"/>
      <c r="H9" s="8"/>
      <c r="I9" s="8"/>
      <c r="J9" s="8"/>
      <c r="K9" s="8"/>
      <c r="L9" s="8"/>
      <c r="M9" s="10"/>
      <c r="N9" s="8"/>
      <c r="O9" s="8"/>
    </row>
    <row r="10" spans="1:15" s="11" customFormat="1" ht="18">
      <c r="A10" s="14">
        <v>1</v>
      </c>
      <c r="B10" s="155" t="s">
        <v>131</v>
      </c>
      <c r="C10" s="157">
        <v>8760</v>
      </c>
      <c r="D10" s="156" t="s">
        <v>130</v>
      </c>
      <c r="E10" s="8"/>
      <c r="F10" s="8"/>
      <c r="G10" s="8"/>
      <c r="H10" s="9"/>
      <c r="I10" s="8"/>
      <c r="J10" s="8"/>
      <c r="K10" s="8"/>
      <c r="L10" s="8"/>
      <c r="M10" s="10"/>
      <c r="N10" s="8"/>
      <c r="O10" s="8"/>
    </row>
    <row r="11" spans="1:15" s="11" customFormat="1" ht="18">
      <c r="A11" s="14">
        <f>A10+1</f>
        <v>2</v>
      </c>
      <c r="B11" s="155" t="s">
        <v>132</v>
      </c>
      <c r="C11" s="157">
        <f>AVERAGE('[2]Initial Fan NRG Savings Est'!$C$67:$D$67)</f>
        <v>2483.285714285714</v>
      </c>
      <c r="D11" s="27" t="s">
        <v>133</v>
      </c>
      <c r="E11" s="8"/>
      <c r="F11" s="8"/>
      <c r="G11" s="8"/>
      <c r="H11" s="9"/>
      <c r="I11" s="8"/>
      <c r="J11" s="8"/>
      <c r="K11" s="8"/>
      <c r="L11" s="8"/>
      <c r="M11" s="10"/>
      <c r="N11" s="8"/>
      <c r="O11" s="8"/>
    </row>
    <row r="12" spans="1:15" s="11" customFormat="1" ht="18">
      <c r="A12" s="14">
        <f>A11+1</f>
        <v>3</v>
      </c>
      <c r="B12" s="155" t="s">
        <v>134</v>
      </c>
      <c r="C12" s="158">
        <f>C11/C10</f>
        <v>0.2834801043705153</v>
      </c>
      <c r="D12" s="27"/>
      <c r="E12" s="8"/>
      <c r="F12" s="8"/>
      <c r="G12" s="8"/>
      <c r="H12" s="9"/>
      <c r="I12" s="8"/>
      <c r="J12" s="8"/>
      <c r="K12" s="8"/>
      <c r="L12" s="8"/>
      <c r="M12" s="10"/>
      <c r="N12" s="8"/>
      <c r="O12" s="8"/>
    </row>
    <row r="13" spans="1:15" s="11" customFormat="1" ht="18">
      <c r="A13" s="14">
        <f>A12+1</f>
        <v>4</v>
      </c>
      <c r="B13" s="155" t="s">
        <v>9</v>
      </c>
      <c r="C13" s="157"/>
      <c r="D13" s="27"/>
      <c r="E13" s="8"/>
      <c r="F13" s="8"/>
      <c r="G13" s="8"/>
      <c r="H13" s="9"/>
      <c r="I13" s="8"/>
      <c r="J13" s="8"/>
      <c r="K13" s="8"/>
      <c r="L13" s="8"/>
      <c r="M13" s="10"/>
      <c r="N13" s="8"/>
      <c r="O13" s="8"/>
    </row>
    <row r="14" spans="1:15" s="11" customFormat="1" ht="18">
      <c r="A14" s="14">
        <v>5</v>
      </c>
      <c r="B14" s="155" t="s">
        <v>9</v>
      </c>
      <c r="C14" s="157"/>
      <c r="D14" s="27"/>
      <c r="E14" s="8"/>
      <c r="F14" s="8"/>
      <c r="G14" s="8"/>
      <c r="H14" s="9"/>
      <c r="I14" s="8"/>
      <c r="J14" s="8"/>
      <c r="K14" s="8"/>
      <c r="L14" s="8"/>
      <c r="M14" s="10"/>
      <c r="N14" s="8"/>
      <c r="O14" s="8"/>
    </row>
    <row r="15" spans="1:15" s="11" customFormat="1" ht="18">
      <c r="A15" s="14">
        <v>6</v>
      </c>
      <c r="B15" s="155" t="s">
        <v>9</v>
      </c>
      <c r="C15" s="157"/>
      <c r="D15" s="27"/>
      <c r="E15" s="8"/>
      <c r="F15" s="8"/>
      <c r="G15" s="8"/>
      <c r="H15" s="9"/>
      <c r="I15" s="8"/>
      <c r="J15" s="8"/>
      <c r="K15" s="8"/>
      <c r="L15" s="8"/>
      <c r="M15" s="10"/>
      <c r="N15" s="8"/>
      <c r="O15" s="8"/>
    </row>
    <row r="16" spans="1:15" s="11" customFormat="1" ht="18">
      <c r="A16" s="14">
        <v>7</v>
      </c>
      <c r="B16" s="155" t="s">
        <v>9</v>
      </c>
      <c r="C16" s="157"/>
      <c r="D16" s="27"/>
      <c r="E16" s="8"/>
      <c r="F16" s="8"/>
      <c r="G16" s="8"/>
      <c r="H16" s="9"/>
      <c r="I16" s="8"/>
      <c r="J16" s="8"/>
      <c r="K16" s="8"/>
      <c r="L16" s="8"/>
      <c r="M16" s="10"/>
      <c r="N16" s="8"/>
      <c r="O16" s="8"/>
    </row>
    <row r="17" spans="1:15" s="11" customFormat="1" ht="18">
      <c r="A17" s="14">
        <v>8</v>
      </c>
      <c r="B17" s="155" t="s">
        <v>9</v>
      </c>
      <c r="C17" s="157"/>
      <c r="D17" s="27"/>
      <c r="E17" s="8"/>
      <c r="F17" s="8"/>
      <c r="G17" s="8"/>
      <c r="H17" s="9"/>
      <c r="I17" s="8"/>
      <c r="J17" s="8"/>
      <c r="K17" s="8"/>
      <c r="L17" s="8"/>
      <c r="M17" s="10"/>
      <c r="N17" s="8"/>
      <c r="O17" s="8"/>
    </row>
    <row r="18" spans="1:2" ht="18">
      <c r="A18" s="15"/>
      <c r="B18" s="28"/>
    </row>
    <row r="19" spans="1:4" s="115" customFormat="1" ht="18">
      <c r="A19" s="112" t="s">
        <v>112</v>
      </c>
      <c r="B19" s="113"/>
      <c r="C19" s="114"/>
      <c r="D19" s="114"/>
    </row>
    <row r="20" spans="1:4" s="115" customFormat="1" ht="18" thickBot="1">
      <c r="A20" s="116" t="s">
        <v>135</v>
      </c>
      <c r="B20" s="113"/>
      <c r="C20" s="114"/>
      <c r="D20" s="114"/>
    </row>
    <row r="21" spans="2:9" ht="18" thickBot="1">
      <c r="B21" s="130" t="s">
        <v>118</v>
      </c>
      <c r="C21" s="118"/>
      <c r="D21" s="118"/>
      <c r="E21" s="118"/>
      <c r="F21" s="118"/>
      <c r="G21" s="118"/>
      <c r="H21" s="119"/>
      <c r="I21" s="120"/>
    </row>
    <row r="22" spans="1:9" ht="18">
      <c r="A22" s="16"/>
      <c r="B22" s="17"/>
      <c r="C22" s="172" t="s">
        <v>47</v>
      </c>
      <c r="D22" s="171"/>
      <c r="E22" s="172" t="s">
        <v>77</v>
      </c>
      <c r="F22" s="171"/>
      <c r="G22" s="171"/>
      <c r="H22" s="45" t="s">
        <v>98</v>
      </c>
      <c r="I22" s="45" t="s">
        <v>94</v>
      </c>
    </row>
    <row r="23" spans="1:9" ht="18">
      <c r="A23" s="16"/>
      <c r="C23" s="45" t="s">
        <v>35</v>
      </c>
      <c r="D23" s="45" t="s">
        <v>33</v>
      </c>
      <c r="E23" s="45" t="s">
        <v>96</v>
      </c>
      <c r="F23" s="45" t="s">
        <v>97</v>
      </c>
      <c r="G23" s="45" t="s">
        <v>34</v>
      </c>
      <c r="I23" s="40"/>
    </row>
    <row r="24" spans="1:9" ht="18">
      <c r="A24" s="16"/>
      <c r="B24" s="63" t="s">
        <v>92</v>
      </c>
      <c r="C24" s="97">
        <f>SUM(Data!AC24:AC35)*C12</f>
        <v>836.6488971268684</v>
      </c>
      <c r="D24" s="46">
        <f>SUM(Data!AA24:AA35)*C12</f>
        <v>8366.488971268682</v>
      </c>
      <c r="E24" s="97">
        <f>Data!I35+Data!J35</f>
        <v>631.2</v>
      </c>
      <c r="F24" s="97">
        <f>Data!K35</f>
        <v>140</v>
      </c>
      <c r="G24" s="97">
        <f>E24+F24</f>
        <v>771.2</v>
      </c>
      <c r="H24" s="97">
        <f>C24+G24</f>
        <v>1607.8488971268685</v>
      </c>
      <c r="I24" s="48">
        <f>Data!L35</f>
        <v>4.938271604938272</v>
      </c>
    </row>
    <row r="25" spans="1:9" ht="18" thickBot="1">
      <c r="A25" s="16"/>
      <c r="B25" s="63" t="s">
        <v>93</v>
      </c>
      <c r="C25" s="97">
        <f>SUM('[4]Data'!$AC$24:$AC$35)*C12</f>
        <v>120.38639119346868</v>
      </c>
      <c r="D25" s="46">
        <f>SUM('[4]Data'!$AA$24:$AA$35)*C12</f>
        <v>1203.863911934687</v>
      </c>
      <c r="E25" s="97">
        <f>'[4]Data'!$I$35+'[4]Data'!$J$35</f>
        <v>1860</v>
      </c>
      <c r="F25" s="97">
        <f>'[4]Data'!$K$35</f>
        <v>100</v>
      </c>
      <c r="G25" s="97">
        <f>E25+F25</f>
        <v>1960</v>
      </c>
      <c r="H25" s="97">
        <f>C25+G25</f>
        <v>2080.3863911934686</v>
      </c>
      <c r="I25" s="48">
        <f>'[4]Data'!$L$35</f>
        <v>4.444444444444445</v>
      </c>
    </row>
    <row r="26" spans="1:9" ht="18" thickBot="1">
      <c r="A26" s="16"/>
      <c r="B26" s="126" t="s">
        <v>95</v>
      </c>
      <c r="C26" s="127">
        <f aca="true" t="shared" si="0" ref="C26:I26">C24-C25</f>
        <v>716.2625059333998</v>
      </c>
      <c r="D26" s="128">
        <f t="shared" si="0"/>
        <v>7162.625059333995</v>
      </c>
      <c r="E26" s="127">
        <f t="shared" si="0"/>
        <v>-1228.8</v>
      </c>
      <c r="F26" s="127">
        <f t="shared" si="0"/>
        <v>40</v>
      </c>
      <c r="G26" s="127">
        <f t="shared" si="0"/>
        <v>-1188.8</v>
      </c>
      <c r="H26" s="127">
        <f t="shared" si="0"/>
        <v>-472.5374940666002</v>
      </c>
      <c r="I26" s="129">
        <f t="shared" si="0"/>
        <v>0.4938271604938276</v>
      </c>
    </row>
    <row r="27" spans="1:9" ht="18" thickBot="1">
      <c r="A27" s="16"/>
      <c r="B27" s="63"/>
      <c r="C27" s="97"/>
      <c r="D27" s="46"/>
      <c r="E27" s="97"/>
      <c r="F27" s="97"/>
      <c r="G27" s="97"/>
      <c r="H27" s="97"/>
      <c r="I27" s="48"/>
    </row>
    <row r="28" spans="2:9" ht="18" thickBot="1">
      <c r="B28" s="130" t="s">
        <v>99</v>
      </c>
      <c r="C28" s="123"/>
      <c r="D28" s="123"/>
      <c r="E28" s="123"/>
      <c r="F28" s="123"/>
      <c r="G28" s="123"/>
      <c r="H28" s="131"/>
      <c r="I28" s="124"/>
    </row>
    <row r="29" spans="1:9" ht="18">
      <c r="A29" s="16"/>
      <c r="B29" s="17"/>
      <c r="C29" s="172" t="s">
        <v>47</v>
      </c>
      <c r="D29" s="171"/>
      <c r="E29" s="172" t="s">
        <v>77</v>
      </c>
      <c r="F29" s="171"/>
      <c r="G29" s="171"/>
      <c r="H29" s="45" t="s">
        <v>98</v>
      </c>
      <c r="I29" s="45" t="s">
        <v>94</v>
      </c>
    </row>
    <row r="30" spans="1:9" ht="18">
      <c r="A30" s="16"/>
      <c r="C30" s="45" t="s">
        <v>35</v>
      </c>
      <c r="D30" s="45" t="s">
        <v>33</v>
      </c>
      <c r="E30" s="45" t="s">
        <v>96</v>
      </c>
      <c r="F30" s="45" t="s">
        <v>97</v>
      </c>
      <c r="G30" s="45" t="s">
        <v>34</v>
      </c>
      <c r="I30" s="40"/>
    </row>
    <row r="31" spans="1:9" ht="18">
      <c r="A31" s="16"/>
      <c r="B31" s="63" t="s">
        <v>92</v>
      </c>
      <c r="C31" s="97">
        <f>Data!AC72*C12</f>
        <v>4646.135720300972</v>
      </c>
      <c r="D31" s="46">
        <f>Data!AA72*C12</f>
        <v>46461.35720300971</v>
      </c>
      <c r="E31" s="97">
        <f>Data!I71+Data!J71</f>
        <v>1262.4</v>
      </c>
      <c r="F31" s="97">
        <f>Data!K71</f>
        <v>280</v>
      </c>
      <c r="G31" s="97">
        <f>E31+F31</f>
        <v>1542.4</v>
      </c>
      <c r="H31" s="97">
        <f>C31+G31</f>
        <v>6188.535720300972</v>
      </c>
      <c r="I31" s="48">
        <f>Data!L71</f>
        <v>9.876543209876544</v>
      </c>
    </row>
    <row r="32" spans="1:9" ht="18" thickBot="1">
      <c r="A32" s="16"/>
      <c r="B32" s="63" t="s">
        <v>93</v>
      </c>
      <c r="C32" s="97">
        <f>'[4]Data'!$AC$72*C12</f>
        <v>42.14279725072464</v>
      </c>
      <c r="D32" s="46">
        <f>'[4]Data'!$AA$72*C12</f>
        <v>421.42797250724635</v>
      </c>
      <c r="E32" s="97">
        <f>'[4]Data'!$I$71+'[4]Data'!$J$71</f>
        <v>1860</v>
      </c>
      <c r="F32" s="97">
        <f>'[4]Data'!$K$71</f>
        <v>100</v>
      </c>
      <c r="G32" s="97">
        <f>E32+F32</f>
        <v>1960</v>
      </c>
      <c r="H32" s="97">
        <f>C32+G32</f>
        <v>2002.1427972507247</v>
      </c>
      <c r="I32" s="48">
        <f>'[4]Data'!$L$71</f>
        <v>4.444444444444445</v>
      </c>
    </row>
    <row r="33" spans="1:9" ht="18" thickBot="1">
      <c r="A33" s="16"/>
      <c r="B33" s="126" t="s">
        <v>95</v>
      </c>
      <c r="C33" s="127">
        <f>C31-C32</f>
        <v>4603.992923050248</v>
      </c>
      <c r="D33" s="128">
        <f aca="true" t="shared" si="1" ref="D33:I33">D31-D32</f>
        <v>46039.929230502465</v>
      </c>
      <c r="E33" s="127">
        <f t="shared" si="1"/>
        <v>-597.5999999999999</v>
      </c>
      <c r="F33" s="127">
        <f t="shared" si="1"/>
        <v>180</v>
      </c>
      <c r="G33" s="127">
        <f t="shared" si="1"/>
        <v>-417.5999999999999</v>
      </c>
      <c r="H33" s="127">
        <f t="shared" si="1"/>
        <v>4186.392923050247</v>
      </c>
      <c r="I33" s="129">
        <f t="shared" si="1"/>
        <v>5.4320987654321</v>
      </c>
    </row>
    <row r="34" spans="1:9" ht="18">
      <c r="A34" s="16"/>
      <c r="B34" s="63"/>
      <c r="C34" s="97"/>
      <c r="D34" s="46"/>
      <c r="E34" s="97"/>
      <c r="F34" s="97"/>
      <c r="G34" s="97"/>
      <c r="H34" s="97"/>
      <c r="I34" s="48"/>
    </row>
    <row r="35" spans="1:4" s="115" customFormat="1" ht="18">
      <c r="A35" s="112" t="s">
        <v>114</v>
      </c>
      <c r="B35" s="113"/>
      <c r="C35" s="114"/>
      <c r="D35" s="114"/>
    </row>
    <row r="36" spans="1:4" s="115" customFormat="1" ht="18">
      <c r="A36" s="116" t="s">
        <v>115</v>
      </c>
      <c r="B36" s="113"/>
      <c r="C36" s="114"/>
      <c r="D36" s="114"/>
    </row>
    <row r="37" spans="1:2" ht="18">
      <c r="A37" s="16"/>
      <c r="B37" s="17"/>
    </row>
    <row r="38" spans="1:4" ht="18">
      <c r="A38" s="16"/>
      <c r="B38" s="108" t="s">
        <v>104</v>
      </c>
      <c r="C38" s="109">
        <f>C26</f>
        <v>716.2625059333998</v>
      </c>
      <c r="D38" s="1" t="str">
        <f>"("&amp;TEXT(D26,"#,###")&amp;" kWh)"</f>
        <v>(7,163 kWh)</v>
      </c>
    </row>
    <row r="39" spans="1:4" ht="18" thickBot="1">
      <c r="A39" s="16"/>
      <c r="B39" s="108" t="s">
        <v>101</v>
      </c>
      <c r="C39" s="109">
        <f>-E26</f>
        <v>1228.8</v>
      </c>
      <c r="D39" s="62" t="s">
        <v>106</v>
      </c>
    </row>
    <row r="40" spans="1:5" ht="18" thickBot="1">
      <c r="A40" s="16"/>
      <c r="B40" s="121" t="s">
        <v>100</v>
      </c>
      <c r="C40" s="122">
        <f>C39/C38</f>
        <v>1.7155721398521138</v>
      </c>
      <c r="D40" s="123" t="s">
        <v>119</v>
      </c>
      <c r="E40" s="124"/>
    </row>
    <row r="41" spans="1:4" ht="18">
      <c r="A41" s="16"/>
      <c r="B41" s="108"/>
      <c r="C41" s="19"/>
      <c r="D41" s="62"/>
    </row>
    <row r="42" spans="1:4" ht="18">
      <c r="A42" s="16"/>
      <c r="B42" s="108" t="s">
        <v>105</v>
      </c>
      <c r="C42" s="109">
        <f>C26+F26</f>
        <v>756.2625059333998</v>
      </c>
      <c r="D42" s="1" t="str">
        <f>"("&amp;TEXT(D26,"#,###")&amp;" kWh plus $"&amp;TEXT(F26,"#,###")&amp;" in filter installation labor)"</f>
        <v>(7,163 kWh plus $40 in filter installation labor)</v>
      </c>
    </row>
    <row r="43" spans="1:4" ht="18" thickBot="1">
      <c r="A43" s="16"/>
      <c r="B43" s="108" t="s">
        <v>101</v>
      </c>
      <c r="C43" s="109">
        <f>-E26</f>
        <v>1228.8</v>
      </c>
      <c r="D43" s="62" t="s">
        <v>106</v>
      </c>
    </row>
    <row r="44" spans="1:5" ht="18" thickBot="1">
      <c r="A44" s="20"/>
      <c r="B44" s="121" t="s">
        <v>100</v>
      </c>
      <c r="C44" s="122">
        <f>C43/C42</f>
        <v>1.6248326346463275</v>
      </c>
      <c r="D44" s="123" t="s">
        <v>120</v>
      </c>
      <c r="E44" s="124"/>
    </row>
    <row r="45" spans="2:3" ht="18">
      <c r="B45" s="17"/>
      <c r="C45" s="18"/>
    </row>
    <row r="46" spans="1:4" s="115" customFormat="1" ht="18">
      <c r="A46" s="116" t="s">
        <v>116</v>
      </c>
      <c r="B46" s="113"/>
      <c r="C46" s="114"/>
      <c r="D46" s="114"/>
    </row>
    <row r="47" spans="1:3" ht="18">
      <c r="A47" s="16"/>
      <c r="B47" s="17"/>
      <c r="C47" s="18"/>
    </row>
    <row r="48" spans="1:4" ht="18">
      <c r="A48" s="16"/>
      <c r="B48" s="108" t="s">
        <v>103</v>
      </c>
      <c r="C48" s="109">
        <f>C33</f>
        <v>4603.992923050248</v>
      </c>
      <c r="D48" s="1" t="str">
        <f>"( "&amp;TEXT(D33,"#,###")&amp;" kWh)"</f>
        <v>( 46,040 kWh)</v>
      </c>
    </row>
    <row r="49" spans="1:4" ht="18">
      <c r="A49" s="16"/>
      <c r="B49" s="108" t="s">
        <v>102</v>
      </c>
      <c r="C49" s="109">
        <f>-E33</f>
        <v>597.5999999999999</v>
      </c>
      <c r="D49" s="62" t="s">
        <v>106</v>
      </c>
    </row>
    <row r="50" spans="1:4" ht="18" thickBot="1">
      <c r="A50" s="16"/>
      <c r="B50" s="108" t="s">
        <v>100</v>
      </c>
      <c r="C50" s="117">
        <f>C49/C48</f>
        <v>0.12980037328208502</v>
      </c>
      <c r="D50" s="62" t="s">
        <v>121</v>
      </c>
    </row>
    <row r="51" spans="1:5" ht="18" thickBot="1">
      <c r="A51" s="16"/>
      <c r="B51" s="121" t="s">
        <v>100</v>
      </c>
      <c r="C51" s="125">
        <f>C50*48</f>
        <v>6.2304179175400805</v>
      </c>
      <c r="D51" s="123" t="s">
        <v>122</v>
      </c>
      <c r="E51" s="124"/>
    </row>
    <row r="52" spans="1:4" ht="18">
      <c r="A52" s="16"/>
      <c r="B52" s="108"/>
      <c r="C52" s="110"/>
      <c r="D52" s="62"/>
    </row>
    <row r="53" spans="1:4" ht="18">
      <c r="A53" s="21"/>
      <c r="B53" s="108" t="s">
        <v>117</v>
      </c>
      <c r="C53" s="109">
        <f>C33+F33</f>
        <v>4783.992923050248</v>
      </c>
      <c r="D53" s="1" t="str">
        <f>"("&amp;TEXT(D43,"#,###")&amp;" kWh plus $"&amp;TEXT(F43,"#,###")&amp;" in filter installation labor)"</f>
        <v>((more expensive filters) kWh plus $ in filter installation labor)</v>
      </c>
    </row>
    <row r="54" spans="2:4" ht="18">
      <c r="B54" s="108" t="s">
        <v>102</v>
      </c>
      <c r="C54" s="109">
        <f>-E33</f>
        <v>597.5999999999999</v>
      </c>
      <c r="D54" s="62" t="s">
        <v>106</v>
      </c>
    </row>
    <row r="55" spans="1:4" ht="18" thickBot="1">
      <c r="A55" s="16"/>
      <c r="B55" s="108" t="s">
        <v>100</v>
      </c>
      <c r="C55" s="117">
        <f>C54/C53</f>
        <v>0.12491657274839224</v>
      </c>
      <c r="D55" s="62" t="s">
        <v>121</v>
      </c>
    </row>
    <row r="56" spans="1:5" ht="18" thickBot="1">
      <c r="A56" s="16"/>
      <c r="B56" s="121" t="s">
        <v>100</v>
      </c>
      <c r="C56" s="125">
        <f>C55*48</f>
        <v>5.9959954919228275</v>
      </c>
      <c r="D56" s="123" t="s">
        <v>122</v>
      </c>
      <c r="E56" s="124"/>
    </row>
    <row r="57" spans="1:3" ht="18">
      <c r="A57" s="16"/>
      <c r="B57" s="22"/>
      <c r="C57" s="23"/>
    </row>
    <row r="58" spans="1:3" ht="18">
      <c r="A58" s="16"/>
      <c r="B58" s="24"/>
      <c r="C58" s="23"/>
    </row>
    <row r="59" spans="1:4" s="115" customFormat="1" ht="18">
      <c r="A59" s="112" t="s">
        <v>123</v>
      </c>
      <c r="B59" s="113"/>
      <c r="C59" s="114"/>
      <c r="D59" s="114"/>
    </row>
    <row r="60" spans="1:3" ht="18">
      <c r="A60" s="16"/>
      <c r="C60" s="23"/>
    </row>
    <row r="61" spans="1:15" ht="24.75" customHeight="1" thickBot="1">
      <c r="A61" s="16"/>
      <c r="C61" s="23"/>
      <c r="J61" s="191" t="str">
        <f>B21</f>
        <v>Savings Summary - First Year Basis</v>
      </c>
      <c r="K61" s="192"/>
      <c r="L61" s="192"/>
      <c r="M61" s="192"/>
      <c r="N61" s="192"/>
      <c r="O61" s="192"/>
    </row>
    <row r="62" spans="10:15" ht="18" thickBot="1">
      <c r="J62" s="139"/>
      <c r="K62" s="196" t="s">
        <v>124</v>
      </c>
      <c r="L62" s="197"/>
      <c r="M62" s="141" t="s">
        <v>96</v>
      </c>
      <c r="N62" s="141" t="s">
        <v>34</v>
      </c>
      <c r="O62" s="142" t="s">
        <v>94</v>
      </c>
    </row>
    <row r="63" spans="10:15" ht="18">
      <c r="J63" s="140"/>
      <c r="K63" s="143" t="s">
        <v>33</v>
      </c>
      <c r="L63" s="144" t="s">
        <v>35</v>
      </c>
      <c r="M63" s="144" t="s">
        <v>35</v>
      </c>
      <c r="N63" s="144" t="s">
        <v>35</v>
      </c>
      <c r="O63" s="145" t="s">
        <v>125</v>
      </c>
    </row>
    <row r="64" spans="10:15" ht="18">
      <c r="J64" s="134" t="str">
        <f>B24</f>
        <v>Existing Approach</v>
      </c>
      <c r="K64" s="135">
        <f>D24</f>
        <v>8366.488971268682</v>
      </c>
      <c r="L64" s="136">
        <f>C24</f>
        <v>836.6488971268684</v>
      </c>
      <c r="M64" s="136">
        <f>E24</f>
        <v>631.2</v>
      </c>
      <c r="N64" s="136">
        <f>L64+M64</f>
        <v>1467.8488971268685</v>
      </c>
      <c r="O64" s="137">
        <f>I24</f>
        <v>4.938271604938272</v>
      </c>
    </row>
    <row r="65" spans="10:15" ht="18">
      <c r="J65" s="146" t="str">
        <f>B25</f>
        <v>Proposed Approach</v>
      </c>
      <c r="K65" s="147">
        <f>D25</f>
        <v>1203.863911934687</v>
      </c>
      <c r="L65" s="148">
        <f>C25</f>
        <v>120.38639119346868</v>
      </c>
      <c r="M65" s="148">
        <f>E25</f>
        <v>1860</v>
      </c>
      <c r="N65" s="148">
        <f>L65+M65</f>
        <v>1980.3863911934686</v>
      </c>
      <c r="O65" s="149">
        <f>I25</f>
        <v>4.444444444444445</v>
      </c>
    </row>
    <row r="66" spans="10:15" ht="18">
      <c r="J66" s="134" t="s">
        <v>95</v>
      </c>
      <c r="K66" s="133">
        <f>K64-K65</f>
        <v>7162.625059333995</v>
      </c>
      <c r="L66" s="132">
        <f>L64-L65</f>
        <v>716.2625059333998</v>
      </c>
      <c r="M66" s="132">
        <f>M64-M65</f>
        <v>-1228.8</v>
      </c>
      <c r="N66" s="132">
        <f>N64-N65</f>
        <v>-512.5374940666002</v>
      </c>
      <c r="O66" s="138">
        <f>O64-O65</f>
        <v>0.4938271604938276</v>
      </c>
    </row>
    <row r="67" spans="10:15" ht="18">
      <c r="J67" s="150" t="s">
        <v>126</v>
      </c>
      <c r="K67" s="151">
        <f>M66/-L66</f>
        <v>1.7155721398521138</v>
      </c>
      <c r="L67" s="193" t="s">
        <v>127</v>
      </c>
      <c r="M67" s="194"/>
      <c r="N67" s="194"/>
      <c r="O67" s="195"/>
    </row>
    <row r="68" spans="1:15" ht="24.75" customHeight="1" thickBot="1">
      <c r="A68" s="16"/>
      <c r="C68" s="23"/>
      <c r="J68" s="191" t="str">
        <f>B28</f>
        <v>Savings Summary - 48 Month Cycle Basis</v>
      </c>
      <c r="K68" s="192"/>
      <c r="L68" s="192"/>
      <c r="M68" s="192"/>
      <c r="N68" s="192"/>
      <c r="O68" s="192"/>
    </row>
    <row r="69" spans="10:15" ht="18" thickBot="1">
      <c r="J69" s="139"/>
      <c r="K69" s="196" t="s">
        <v>124</v>
      </c>
      <c r="L69" s="197"/>
      <c r="M69" s="141" t="s">
        <v>96</v>
      </c>
      <c r="N69" s="141" t="s">
        <v>34</v>
      </c>
      <c r="O69" s="142" t="s">
        <v>94</v>
      </c>
    </row>
    <row r="70" spans="10:15" ht="18">
      <c r="J70" s="140"/>
      <c r="K70" s="143" t="s">
        <v>33</v>
      </c>
      <c r="L70" s="144" t="s">
        <v>35</v>
      </c>
      <c r="M70" s="144" t="s">
        <v>35</v>
      </c>
      <c r="N70" s="144" t="s">
        <v>35</v>
      </c>
      <c r="O70" s="145" t="s">
        <v>125</v>
      </c>
    </row>
    <row r="71" spans="10:15" ht="18">
      <c r="J71" s="134" t="str">
        <f>B31</f>
        <v>Existing Approach</v>
      </c>
      <c r="K71" s="135">
        <f>D31</f>
        <v>46461.35720300971</v>
      </c>
      <c r="L71" s="136">
        <f>C31</f>
        <v>4646.135720300972</v>
      </c>
      <c r="M71" s="136">
        <f>E31</f>
        <v>1262.4</v>
      </c>
      <c r="N71" s="136">
        <f>L71+M71</f>
        <v>5908.535720300972</v>
      </c>
      <c r="O71" s="137">
        <f>I31</f>
        <v>9.876543209876544</v>
      </c>
    </row>
    <row r="72" spans="10:15" ht="18">
      <c r="J72" s="146" t="str">
        <f>B32</f>
        <v>Proposed Approach</v>
      </c>
      <c r="K72" s="147">
        <f>D32</f>
        <v>421.42797250724635</v>
      </c>
      <c r="L72" s="148">
        <f>C32</f>
        <v>42.14279725072464</v>
      </c>
      <c r="M72" s="148">
        <f>E32</f>
        <v>1860</v>
      </c>
      <c r="N72" s="148">
        <f>L72+M72</f>
        <v>1902.1427972507247</v>
      </c>
      <c r="O72" s="149">
        <f>I32</f>
        <v>4.444444444444445</v>
      </c>
    </row>
    <row r="73" spans="10:15" ht="18">
      <c r="J73" s="134" t="s">
        <v>95</v>
      </c>
      <c r="K73" s="133">
        <f>K71-K72</f>
        <v>46039.929230502465</v>
      </c>
      <c r="L73" s="132">
        <f>L71-L72</f>
        <v>4603.992923050248</v>
      </c>
      <c r="M73" s="132">
        <f>M71-M72</f>
        <v>-597.5999999999999</v>
      </c>
      <c r="N73" s="132">
        <f>N71-N72</f>
        <v>4006.392923050247</v>
      </c>
      <c r="O73" s="138">
        <f>O71-O72</f>
        <v>5.4320987654321</v>
      </c>
    </row>
    <row r="74" spans="10:15" ht="18">
      <c r="J74" s="150" t="s">
        <v>126</v>
      </c>
      <c r="K74" s="151">
        <f>(M73/-L73)*48</f>
        <v>6.2304179175400805</v>
      </c>
      <c r="L74" s="193" t="s">
        <v>128</v>
      </c>
      <c r="M74" s="194"/>
      <c r="N74" s="194"/>
      <c r="O74" s="195"/>
    </row>
    <row r="77" spans="1:15" ht="24.75" customHeight="1" thickBot="1">
      <c r="A77" s="16"/>
      <c r="C77" s="23"/>
      <c r="J77" s="191" t="str">
        <f>J61</f>
        <v>Savings Summary - First Year Basis</v>
      </c>
      <c r="K77" s="192"/>
      <c r="L77" s="192"/>
      <c r="M77" s="192"/>
      <c r="N77" s="192"/>
      <c r="O77" s="192"/>
    </row>
    <row r="78" spans="10:15" ht="18" thickBot="1">
      <c r="J78" s="139"/>
      <c r="K78" s="196" t="s">
        <v>124</v>
      </c>
      <c r="L78" s="197"/>
      <c r="M78" s="141" t="s">
        <v>96</v>
      </c>
      <c r="N78" s="141" t="s">
        <v>34</v>
      </c>
      <c r="O78" s="142" t="s">
        <v>94</v>
      </c>
    </row>
    <row r="79" spans="10:15" ht="18">
      <c r="J79" s="140"/>
      <c r="K79" s="143" t="s">
        <v>33</v>
      </c>
      <c r="L79" s="144" t="s">
        <v>35</v>
      </c>
      <c r="M79" s="144" t="s">
        <v>35</v>
      </c>
      <c r="N79" s="144" t="s">
        <v>35</v>
      </c>
      <c r="O79" s="145" t="s">
        <v>129</v>
      </c>
    </row>
    <row r="80" spans="10:15" ht="18">
      <c r="J80" s="134" t="str">
        <f aca="true" t="shared" si="2" ref="J80:O84">J64</f>
        <v>Existing Approach</v>
      </c>
      <c r="K80" s="135">
        <f t="shared" si="2"/>
        <v>8366.488971268682</v>
      </c>
      <c r="L80" s="136">
        <f t="shared" si="2"/>
        <v>836.6488971268684</v>
      </c>
      <c r="M80" s="136">
        <f t="shared" si="2"/>
        <v>631.2</v>
      </c>
      <c r="N80" s="136">
        <f t="shared" si="2"/>
        <v>1467.8488971268685</v>
      </c>
      <c r="O80" s="137">
        <f t="shared" si="2"/>
        <v>4.938271604938272</v>
      </c>
    </row>
    <row r="81" spans="10:15" ht="18">
      <c r="J81" s="146" t="str">
        <f t="shared" si="2"/>
        <v>Proposed Approach</v>
      </c>
      <c r="K81" s="147">
        <f t="shared" si="2"/>
        <v>1203.863911934687</v>
      </c>
      <c r="L81" s="148">
        <f t="shared" si="2"/>
        <v>120.38639119346868</v>
      </c>
      <c r="M81" s="148">
        <f t="shared" si="2"/>
        <v>1860</v>
      </c>
      <c r="N81" s="148">
        <f t="shared" si="2"/>
        <v>1980.3863911934686</v>
      </c>
      <c r="O81" s="149">
        <f t="shared" si="2"/>
        <v>4.444444444444445</v>
      </c>
    </row>
    <row r="82" spans="10:15" ht="18">
      <c r="J82" s="134" t="str">
        <f t="shared" si="2"/>
        <v>Savings</v>
      </c>
      <c r="K82" s="133">
        <f t="shared" si="2"/>
        <v>7162.625059333995</v>
      </c>
      <c r="L82" s="132">
        <f t="shared" si="2"/>
        <v>716.2625059333998</v>
      </c>
      <c r="M82" s="132">
        <f t="shared" si="2"/>
        <v>-1228.8</v>
      </c>
      <c r="N82" s="132">
        <f t="shared" si="2"/>
        <v>-512.5374940666002</v>
      </c>
      <c r="O82" s="138">
        <f t="shared" si="2"/>
        <v>0.4938271604938276</v>
      </c>
    </row>
    <row r="83" spans="10:15" ht="18">
      <c r="J83" s="150" t="str">
        <f t="shared" si="2"/>
        <v>Simple Payback</v>
      </c>
      <c r="K83" s="151">
        <f t="shared" si="2"/>
        <v>1.7155721398521138</v>
      </c>
      <c r="L83" s="193" t="str">
        <f t="shared" si="2"/>
        <v>years (energy only)</v>
      </c>
      <c r="M83" s="194">
        <f t="shared" si="2"/>
        <v>0</v>
      </c>
      <c r="N83" s="194">
        <f t="shared" si="2"/>
        <v>0</v>
      </c>
      <c r="O83" s="195">
        <f t="shared" si="2"/>
        <v>0</v>
      </c>
    </row>
    <row r="84" spans="1:15" ht="24.75" customHeight="1">
      <c r="A84" s="16"/>
      <c r="C84" s="23"/>
      <c r="J84" s="191" t="str">
        <f t="shared" si="2"/>
        <v>Savings Summary - 48 Month Cycle Basis</v>
      </c>
      <c r="K84" s="192">
        <f t="shared" si="2"/>
        <v>0</v>
      </c>
      <c r="L84" s="192">
        <f t="shared" si="2"/>
        <v>0</v>
      </c>
      <c r="M84" s="192">
        <f t="shared" si="2"/>
        <v>0</v>
      </c>
      <c r="N84" s="192">
        <f t="shared" si="2"/>
        <v>0</v>
      </c>
      <c r="O84" s="192">
        <f t="shared" si="2"/>
        <v>0</v>
      </c>
    </row>
    <row r="85" spans="10:15" ht="18">
      <c r="J85" s="134" t="str">
        <f aca="true" t="shared" si="3" ref="J85:O88">J71</f>
        <v>Existing Approach</v>
      </c>
      <c r="K85" s="135">
        <f t="shared" si="3"/>
        <v>46461.35720300971</v>
      </c>
      <c r="L85" s="136">
        <f t="shared" si="3"/>
        <v>4646.135720300972</v>
      </c>
      <c r="M85" s="136">
        <f t="shared" si="3"/>
        <v>1262.4</v>
      </c>
      <c r="N85" s="136">
        <f t="shared" si="3"/>
        <v>5908.535720300972</v>
      </c>
      <c r="O85" s="137">
        <f t="shared" si="3"/>
        <v>9.876543209876544</v>
      </c>
    </row>
    <row r="86" spans="10:15" ht="18">
      <c r="J86" s="146" t="str">
        <f t="shared" si="3"/>
        <v>Proposed Approach</v>
      </c>
      <c r="K86" s="147">
        <f t="shared" si="3"/>
        <v>421.42797250724635</v>
      </c>
      <c r="L86" s="148">
        <f t="shared" si="3"/>
        <v>42.14279725072464</v>
      </c>
      <c r="M86" s="148">
        <f t="shared" si="3"/>
        <v>1860</v>
      </c>
      <c r="N86" s="148">
        <f t="shared" si="3"/>
        <v>1902.1427972507247</v>
      </c>
      <c r="O86" s="149">
        <f t="shared" si="3"/>
        <v>4.444444444444445</v>
      </c>
    </row>
    <row r="87" spans="10:15" ht="18">
      <c r="J87" s="134" t="str">
        <f t="shared" si="3"/>
        <v>Savings</v>
      </c>
      <c r="K87" s="133">
        <f t="shared" si="3"/>
        <v>46039.929230502465</v>
      </c>
      <c r="L87" s="132">
        <f t="shared" si="3"/>
        <v>4603.992923050248</v>
      </c>
      <c r="M87" s="132">
        <f t="shared" si="3"/>
        <v>-597.5999999999999</v>
      </c>
      <c r="N87" s="132">
        <f t="shared" si="3"/>
        <v>4006.392923050247</v>
      </c>
      <c r="O87" s="138">
        <f t="shared" si="3"/>
        <v>5.4320987654321</v>
      </c>
    </row>
    <row r="88" spans="10:15" ht="18">
      <c r="J88" s="150" t="str">
        <f t="shared" si="3"/>
        <v>Simple Payback</v>
      </c>
      <c r="K88" s="151">
        <f t="shared" si="3"/>
        <v>6.2304179175400805</v>
      </c>
      <c r="L88" s="193" t="str">
        <f t="shared" si="3"/>
        <v>months (energy only)</v>
      </c>
      <c r="M88" s="194">
        <f t="shared" si="3"/>
        <v>0</v>
      </c>
      <c r="N88" s="194">
        <f t="shared" si="3"/>
        <v>0</v>
      </c>
      <c r="O88" s="195">
        <f t="shared" si="3"/>
        <v>0</v>
      </c>
    </row>
  </sheetData>
  <sheetProtection/>
  <mergeCells count="15">
    <mergeCell ref="C22:D22"/>
    <mergeCell ref="E22:G22"/>
    <mergeCell ref="C29:D29"/>
    <mergeCell ref="E29:G29"/>
    <mergeCell ref="J61:O61"/>
    <mergeCell ref="K62:L62"/>
    <mergeCell ref="L83:O83"/>
    <mergeCell ref="J84:O84"/>
    <mergeCell ref="L88:O88"/>
    <mergeCell ref="L67:O67"/>
    <mergeCell ref="J68:O68"/>
    <mergeCell ref="K69:L69"/>
    <mergeCell ref="L74:O74"/>
    <mergeCell ref="J77:O77"/>
    <mergeCell ref="K78:L78"/>
  </mergeCells>
  <printOptions/>
  <pageMargins left="0.75" right="0.75" top="1" bottom="1" header="0.5" footer="0.5"/>
  <pageSetup horizontalDpi="600" verticalDpi="600" orientation="landscape" scale="61" r:id="rId2"/>
  <headerFooter alignWithMargins="0">
    <oddFooter>&amp;LPage &amp;P of &amp;N of Sheet &amp;A of File &amp;F
Printed on &amp;D at &amp;T
DAS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Sellers</dc:creator>
  <cp:keywords/>
  <dc:description/>
  <cp:lastModifiedBy>David Sellers</cp:lastModifiedBy>
  <dcterms:created xsi:type="dcterms:W3CDTF">2002-10-15T18:30:13Z</dcterms:created>
  <dcterms:modified xsi:type="dcterms:W3CDTF">2020-11-20T17:58:37Z</dcterms:modified>
  <cp:category/>
  <cp:version/>
  <cp:contentType/>
  <cp:contentStatus/>
</cp:coreProperties>
</file>